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135" windowWidth="14820" windowHeight="8130"/>
  </bookViews>
  <sheets>
    <sheet name="Budget Master " sheetId="6" r:id="rId1"/>
    <sheet name="Sheet1" sheetId="7" r:id="rId2"/>
  </sheets>
  <definedNames>
    <definedName name="_xlnm.Print_Area" localSheetId="0">'Budget Master '!$A$1:$H$64</definedName>
  </definedNames>
  <calcPr calcId="125725"/>
</workbook>
</file>

<file path=xl/calcChain.xml><?xml version="1.0" encoding="utf-8"?>
<calcChain xmlns="http://schemas.openxmlformats.org/spreadsheetml/2006/main">
  <c r="Y15" i="6"/>
  <c r="X15"/>
  <c r="T50"/>
  <c r="Z43"/>
  <c r="AA48"/>
  <c r="W18"/>
  <c r="AA18"/>
  <c r="Z18"/>
  <c r="X18"/>
  <c r="AB16"/>
  <c r="Y16"/>
  <c r="V16"/>
  <c r="D4" l="1"/>
  <c r="D8"/>
  <c r="D6"/>
  <c r="F54" l="1"/>
  <c r="E48"/>
  <c r="G17"/>
  <c r="J17" s="1"/>
  <c r="M17" s="1"/>
  <c r="G16"/>
  <c r="J16" s="1"/>
  <c r="M16" s="1"/>
  <c r="F16"/>
  <c r="G15"/>
  <c r="F15"/>
  <c r="G19" l="1"/>
  <c r="J15"/>
  <c r="M15" s="1"/>
  <c r="U18"/>
  <c r="V18"/>
  <c r="T47"/>
  <c r="U47"/>
  <c r="W47"/>
  <c r="X47"/>
  <c r="Z47"/>
  <c r="AA47"/>
  <c r="Z38"/>
  <c r="W38"/>
  <c r="T38"/>
  <c r="T44"/>
  <c r="U44"/>
  <c r="W44"/>
  <c r="X44"/>
  <c r="Z44"/>
  <c r="AA44"/>
  <c r="AC44"/>
  <c r="Q10"/>
  <c r="Q11"/>
  <c r="Q39"/>
  <c r="N19" l="1"/>
  <c r="AD44"/>
  <c r="AC38"/>
  <c r="AD47"/>
  <c r="AC47"/>
  <c r="G47"/>
  <c r="G46"/>
  <c r="J46" s="1"/>
  <c r="G44"/>
  <c r="L46" l="1"/>
  <c r="M46"/>
  <c r="J44"/>
  <c r="V44"/>
  <c r="AB44"/>
  <c r="Y44"/>
  <c r="J47"/>
  <c r="Y47"/>
  <c r="V47"/>
  <c r="AB47"/>
  <c r="M53" i="7"/>
  <c r="M45"/>
  <c r="K53"/>
  <c r="L53"/>
  <c r="J53"/>
  <c r="C72"/>
  <c r="V55" i="6"/>
  <c r="Y55"/>
  <c r="AB55"/>
  <c r="E16"/>
  <c r="AE18"/>
  <c r="F17"/>
  <c r="E17" s="1"/>
  <c r="E18"/>
  <c r="AA15"/>
  <c r="AB17"/>
  <c r="Y17"/>
  <c r="V17"/>
  <c r="U17"/>
  <c r="AE16"/>
  <c r="AB15"/>
  <c r="V15"/>
  <c r="AB54"/>
  <c r="Y54"/>
  <c r="V54"/>
  <c r="X54"/>
  <c r="AB46"/>
  <c r="Y46"/>
  <c r="V46"/>
  <c r="T43"/>
  <c r="W43"/>
  <c r="W41"/>
  <c r="T41"/>
  <c r="Z39"/>
  <c r="W39"/>
  <c r="T39"/>
  <c r="F39"/>
  <c r="AG43"/>
  <c r="F43"/>
  <c r="AG41"/>
  <c r="F41"/>
  <c r="AG46"/>
  <c r="M47" l="1"/>
  <c r="L47"/>
  <c r="M44"/>
  <c r="M48" s="1"/>
  <c r="L44"/>
  <c r="N46"/>
  <c r="AE44"/>
  <c r="T18"/>
  <c r="AE47"/>
  <c r="AE17"/>
  <c r="Z17"/>
  <c r="T17"/>
  <c r="X17"/>
  <c r="AA17"/>
  <c r="X41"/>
  <c r="G41"/>
  <c r="J41" s="1"/>
  <c r="U43"/>
  <c r="G43"/>
  <c r="J43" s="1"/>
  <c r="X39"/>
  <c r="G39"/>
  <c r="AE46"/>
  <c r="AE15"/>
  <c r="W17"/>
  <c r="AC17" s="1"/>
  <c r="AD18"/>
  <c r="E54"/>
  <c r="W54" s="1"/>
  <c r="AA54"/>
  <c r="U54"/>
  <c r="AE55"/>
  <c r="AC41"/>
  <c r="AE54"/>
  <c r="E15"/>
  <c r="E19" s="1"/>
  <c r="U15"/>
  <c r="AD15" s="1"/>
  <c r="W16"/>
  <c r="T16"/>
  <c r="Z16"/>
  <c r="AC43"/>
  <c r="AA43"/>
  <c r="U39"/>
  <c r="AC39"/>
  <c r="AA39"/>
  <c r="U41"/>
  <c r="X43"/>
  <c r="N44" l="1"/>
  <c r="L48"/>
  <c r="N48" s="1"/>
  <c r="N47"/>
  <c r="AC18"/>
  <c r="AD17"/>
  <c r="Z54"/>
  <c r="T54"/>
  <c r="AB39"/>
  <c r="Y39"/>
  <c r="V39"/>
  <c r="J39"/>
  <c r="V43"/>
  <c r="AB43"/>
  <c r="Y43"/>
  <c r="V41"/>
  <c r="Y41"/>
  <c r="AD43"/>
  <c r="AD54"/>
  <c r="AD39"/>
  <c r="AC16"/>
  <c r="AC54"/>
  <c r="W15"/>
  <c r="Z15"/>
  <c r="T15"/>
  <c r="AD41"/>
  <c r="L59" l="1"/>
  <c r="AE41"/>
  <c r="AE43"/>
  <c r="AE39"/>
  <c r="AC15"/>
  <c r="F38"/>
  <c r="G38" l="1"/>
  <c r="AA38"/>
  <c r="U38"/>
  <c r="X38"/>
  <c r="AB19"/>
  <c r="Y19"/>
  <c r="V19"/>
  <c r="AD38" l="1"/>
  <c r="Y38"/>
  <c r="Y48" s="1"/>
  <c r="AB38"/>
  <c r="AB48" s="1"/>
  <c r="V38"/>
  <c r="AE19"/>
  <c r="J38"/>
  <c r="Q12" s="1"/>
  <c r="E7"/>
  <c r="F7" s="1"/>
  <c r="E3"/>
  <c r="E5"/>
  <c r="F5" s="1"/>
  <c r="G56"/>
  <c r="H51"/>
  <c r="G26"/>
  <c r="H22"/>
  <c r="AE38" l="1"/>
  <c r="V48"/>
  <c r="W19"/>
  <c r="Z19"/>
  <c r="T19"/>
  <c r="AB26"/>
  <c r="V26"/>
  <c r="Y26"/>
  <c r="Y56"/>
  <c r="AB56"/>
  <c r="V56"/>
  <c r="G48"/>
  <c r="F3"/>
  <c r="E9"/>
  <c r="E25" s="1"/>
  <c r="F19" l="1"/>
  <c r="U19" s="1"/>
  <c r="AA16"/>
  <c r="X16"/>
  <c r="U16"/>
  <c r="F25"/>
  <c r="F26" s="1"/>
  <c r="E55"/>
  <c r="E26"/>
  <c r="T26" s="1"/>
  <c r="AE56"/>
  <c r="AC19"/>
  <c r="AE26"/>
  <c r="E12"/>
  <c r="Z9"/>
  <c r="T9"/>
  <c r="W9"/>
  <c r="AA19"/>
  <c r="X19"/>
  <c r="F9"/>
  <c r="G9"/>
  <c r="Z55" l="1"/>
  <c r="W55"/>
  <c r="T55"/>
  <c r="E56"/>
  <c r="H19"/>
  <c r="AD16"/>
  <c r="Z26"/>
  <c r="W26"/>
  <c r="H26"/>
  <c r="X26"/>
  <c r="U26"/>
  <c r="F55"/>
  <c r="AA26"/>
  <c r="AC9"/>
  <c r="Z12"/>
  <c r="T12"/>
  <c r="W12"/>
  <c r="J9"/>
  <c r="Y9"/>
  <c r="AB9"/>
  <c r="V9"/>
  <c r="AA9"/>
  <c r="U9"/>
  <c r="X9"/>
  <c r="AD19"/>
  <c r="AE48"/>
  <c r="F12"/>
  <c r="H9"/>
  <c r="G12"/>
  <c r="AC26" l="1"/>
  <c r="AC55"/>
  <c r="AA55"/>
  <c r="X55"/>
  <c r="U55"/>
  <c r="F56"/>
  <c r="X56" s="1"/>
  <c r="AD26"/>
  <c r="AA56"/>
  <c r="W56"/>
  <c r="T56"/>
  <c r="Z56"/>
  <c r="AC12"/>
  <c r="J12"/>
  <c r="Q9" s="1"/>
  <c r="Q13" s="1"/>
  <c r="AB12"/>
  <c r="AB59" s="1"/>
  <c r="V12"/>
  <c r="Y12"/>
  <c r="Y59" s="1"/>
  <c r="X12"/>
  <c r="AA12"/>
  <c r="U12"/>
  <c r="AD9"/>
  <c r="AE9"/>
  <c r="G59"/>
  <c r="G64" s="1"/>
  <c r="H12"/>
  <c r="Q38" l="1"/>
  <c r="J48"/>
  <c r="H56"/>
  <c r="U56"/>
  <c r="AD55"/>
  <c r="AD56"/>
  <c r="AC56"/>
  <c r="J59"/>
  <c r="N59" s="1"/>
  <c r="AE12"/>
  <c r="AE59" s="1"/>
  <c r="V59"/>
  <c r="AD12"/>
  <c r="E59"/>
  <c r="E64" s="1"/>
  <c r="X46"/>
  <c r="W46"/>
  <c r="F48"/>
  <c r="H48" s="1"/>
  <c r="Z46"/>
  <c r="U46"/>
  <c r="U48" s="1"/>
  <c r="AA46"/>
  <c r="T46"/>
  <c r="T48" s="1"/>
  <c r="X48" l="1"/>
  <c r="X59" s="1"/>
  <c r="AA59"/>
  <c r="Z48"/>
  <c r="Z59" s="1"/>
  <c r="W48"/>
  <c r="W59" s="1"/>
  <c r="T59"/>
  <c r="AD46"/>
  <c r="AD48" s="1"/>
  <c r="AD59" s="1"/>
  <c r="AC46"/>
  <c r="AC48" s="1"/>
  <c r="AC59" s="1"/>
  <c r="U59"/>
  <c r="F59"/>
  <c r="H59" l="1"/>
  <c r="F64"/>
  <c r="Q14" s="1"/>
  <c r="Q19" s="1"/>
</calcChain>
</file>

<file path=xl/sharedStrings.xml><?xml version="1.0" encoding="utf-8"?>
<sst xmlns="http://schemas.openxmlformats.org/spreadsheetml/2006/main" count="99" uniqueCount="73">
  <si>
    <t>Personnel</t>
  </si>
  <si>
    <t>FED</t>
  </si>
  <si>
    <t>NON-FED</t>
  </si>
  <si>
    <t>Total Personnel</t>
  </si>
  <si>
    <t>Fringe Benefits</t>
  </si>
  <si>
    <t>Travel</t>
  </si>
  <si>
    <t>Equipment</t>
  </si>
  <si>
    <t xml:space="preserve"> N/A </t>
  </si>
  <si>
    <t>Total Equipment</t>
  </si>
  <si>
    <t>Supplies</t>
  </si>
  <si>
    <t xml:space="preserve"> consultants under contracts, MOAs and, Inter-local </t>
  </si>
  <si>
    <t xml:space="preserve"> printing, administration, and  travel - per contract </t>
  </si>
  <si>
    <t xml:space="preserve"> terms.  Salary wage rates will not exceed federal </t>
  </si>
  <si>
    <t xml:space="preserve"> maximum for consultants (currently $68.00/hr). </t>
  </si>
  <si>
    <t>Total Contractual</t>
  </si>
  <si>
    <t>Construction</t>
  </si>
  <si>
    <t>Other</t>
  </si>
  <si>
    <t>Total Direct Costs</t>
  </si>
  <si>
    <t>Total Indirect Costs</t>
  </si>
  <si>
    <t>Total Project Costs</t>
  </si>
  <si>
    <t>WP</t>
  </si>
  <si>
    <t>Estimated hours in 36 months:</t>
  </si>
  <si>
    <t xml:space="preserve"> agreements. All costs include  salary, fringe, supplies </t>
  </si>
  <si>
    <t>TOTAL</t>
  </si>
  <si>
    <t>N/A</t>
  </si>
  <si>
    <t>Total Fringe Benefits (Calculated at an average rate of 30.0%)</t>
  </si>
  <si>
    <t>Total Supplies (paper, pens, postage, printing, etc.)</t>
  </si>
  <si>
    <r>
      <t xml:space="preserve">Contractual </t>
    </r>
    <r>
      <rPr>
        <i/>
        <sz val="9"/>
        <rFont val="Arial"/>
        <family val="2"/>
      </rPr>
      <t>(Work completed by project partners as consultants under contracts, MOAs, etc.)</t>
    </r>
  </si>
  <si>
    <t>Finance &amp; Administration</t>
  </si>
  <si>
    <t>(2) staff at rate</t>
  </si>
  <si>
    <t>(1) staff at rate:</t>
  </si>
  <si>
    <t>TFT</t>
  </si>
  <si>
    <t>Formos</t>
  </si>
  <si>
    <t>Contract</t>
  </si>
  <si>
    <t>TFT =</t>
  </si>
  <si>
    <t>WP =</t>
  </si>
  <si>
    <t>TFT/WP</t>
  </si>
  <si>
    <t>MATCH DETAIL</t>
  </si>
  <si>
    <t>OWEB</t>
  </si>
  <si>
    <t>SHARE OF CIG</t>
  </si>
  <si>
    <t>MATCH</t>
  </si>
  <si>
    <t>Year 2</t>
  </si>
  <si>
    <t>Year 3</t>
  </si>
  <si>
    <t>Year 1</t>
  </si>
  <si>
    <t>Specialist</t>
  </si>
  <si>
    <t>B. Nutrient Tracking Tool adaptation to WA, ID</t>
  </si>
  <si>
    <t>1) Texas Institute for Applied Environmental Research</t>
  </si>
  <si>
    <t>1) World Resources Institute</t>
  </si>
  <si>
    <t>Total Travel (3 trips/wk, avg. 600 miles, 93,600 total over 36 mos at $0.50/mile)</t>
  </si>
  <si>
    <t xml:space="preserve">Workshop refreshments (assumes light breakfast ($7/person), two lunches ($30/person), and one dinner ($20/person) for 7, 2-day agency workshops with 10 people in Seattle, Boise, and Portland) </t>
  </si>
  <si>
    <t>NRCS Designated Travel</t>
  </si>
  <si>
    <t>C. Engagement with national &amp; neighboring western states</t>
  </si>
  <si>
    <r>
      <t xml:space="preserve">Executive Director (Willamette Partnership)         </t>
    </r>
    <r>
      <rPr>
        <sz val="9"/>
        <rFont val="Arial"/>
        <family val="2"/>
      </rPr>
      <t>(1) staff at rate:</t>
    </r>
  </si>
  <si>
    <t>Contractual &amp; Partner Participation for Project Deliverables from Proposal:</t>
  </si>
  <si>
    <t>1) Oregon DEQ, Washington DOE, Idaho DEQ</t>
  </si>
  <si>
    <t>A. State water quality agencies</t>
  </si>
  <si>
    <t>2) The Freshwater Trust</t>
  </si>
  <si>
    <t>1) Engagement of other stakeholders (farm, ranching and forestry)</t>
  </si>
  <si>
    <t>D. Local stakeholder engagement; supply &amp; demand analysis</t>
  </si>
  <si>
    <t>2) Supply &amp; demand analysis</t>
  </si>
  <si>
    <t>state agencies</t>
  </si>
  <si>
    <t>WRI</t>
  </si>
  <si>
    <t>TIAER</t>
  </si>
  <si>
    <t>TBD</t>
  </si>
  <si>
    <t>Airfare (assumes 28 tickets within the Northwest at $200/ticket; and 8 tickets to DC at $577/ticket)</t>
  </si>
  <si>
    <t>Mileage &amp; Parking (estimated 4 trips per week for project management and outreach at a total of 800 miles per week for 36 months at the federal rate in effect at the time of travel (currently $0.555 per mile)</t>
  </si>
  <si>
    <t>Hotel (assumes 100 nights at $150/night for regional agency workshops)</t>
  </si>
  <si>
    <t>Telephone, equipment rental, occupancy (estimated at 20% of Personnel)</t>
  </si>
  <si>
    <t>Total Other (workshop refreshments, telephone, equipment rental, occupancy)</t>
  </si>
  <si>
    <t>Cash</t>
  </si>
  <si>
    <t>In-Kind</t>
  </si>
  <si>
    <t>Office supplies, computer support, postage, printing (est'd at 5% of Personnel)</t>
  </si>
  <si>
    <t>2) Facilitation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</si>
</sst>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u val="singleAccounting"/>
      <sz val="9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9" fillId="0" borderId="0"/>
  </cellStyleXfs>
  <cellXfs count="92">
    <xf numFmtId="0" fontId="0" fillId="0" borderId="0" xfId="0"/>
    <xf numFmtId="44" fontId="5" fillId="0" borderId="0" xfId="1" applyFont="1" applyFill="1"/>
    <xf numFmtId="0" fontId="5" fillId="0" borderId="0" xfId="3" applyFont="1" applyFill="1"/>
    <xf numFmtId="3" fontId="5" fillId="0" borderId="0" xfId="3" applyNumberFormat="1" applyFont="1" applyFill="1"/>
    <xf numFmtId="44" fontId="7" fillId="0" borderId="0" xfId="1" applyFont="1" applyFill="1" applyAlignment="1">
      <alignment horizontal="center"/>
    </xf>
    <xf numFmtId="44" fontId="5" fillId="0" borderId="3" xfId="1" applyFont="1" applyFill="1" applyBorder="1"/>
    <xf numFmtId="0" fontId="4" fillId="0" borderId="0" xfId="3" applyFont="1" applyFill="1"/>
    <xf numFmtId="0" fontId="3" fillId="0" borderId="0" xfId="3" applyFont="1" applyFill="1"/>
    <xf numFmtId="0" fontId="4" fillId="0" borderId="6" xfId="3" applyFont="1" applyFill="1" applyBorder="1"/>
    <xf numFmtId="0" fontId="5" fillId="0" borderId="3" xfId="3" applyFont="1" applyFill="1" applyBorder="1"/>
    <xf numFmtId="0" fontId="5" fillId="0" borderId="3" xfId="3" applyFont="1" applyFill="1" applyBorder="1" applyAlignment="1">
      <alignment horizontal="right"/>
    </xf>
    <xf numFmtId="0" fontId="4" fillId="0" borderId="7" xfId="3" applyFont="1" applyFill="1" applyBorder="1"/>
    <xf numFmtId="0" fontId="5" fillId="0" borderId="8" xfId="3" applyFont="1" applyFill="1" applyBorder="1"/>
    <xf numFmtId="2" fontId="5" fillId="0" borderId="0" xfId="3" applyNumberFormat="1" applyFont="1" applyFill="1"/>
    <xf numFmtId="0" fontId="4" fillId="0" borderId="6" xfId="3" applyFont="1" applyFill="1" applyBorder="1" applyAlignment="1">
      <alignment wrapText="1"/>
    </xf>
    <xf numFmtId="0" fontId="4" fillId="0" borderId="7" xfId="3" applyFont="1" applyFill="1" applyBorder="1" applyAlignment="1">
      <alignment wrapText="1"/>
    </xf>
    <xf numFmtId="0" fontId="5" fillId="0" borderId="0" xfId="3" applyFont="1" applyFill="1" applyBorder="1"/>
    <xf numFmtId="0" fontId="4" fillId="0" borderId="1" xfId="3" applyFont="1" applyFill="1" applyBorder="1"/>
    <xf numFmtId="0" fontId="5" fillId="0" borderId="1" xfId="3" applyFont="1" applyFill="1" applyBorder="1"/>
    <xf numFmtId="0" fontId="5" fillId="0" borderId="2" xfId="3" applyFont="1" applyFill="1" applyBorder="1"/>
    <xf numFmtId="0" fontId="4" fillId="0" borderId="0" xfId="3" applyFont="1" applyFill="1" applyBorder="1"/>
    <xf numFmtId="0" fontId="5" fillId="0" borderId="8" xfId="3" applyFont="1" applyFill="1" applyBorder="1" applyAlignment="1">
      <alignment horizontal="right"/>
    </xf>
    <xf numFmtId="0" fontId="4" fillId="0" borderId="2" xfId="3" applyFont="1" applyFill="1" applyBorder="1"/>
    <xf numFmtId="0" fontId="8" fillId="0" borderId="0" xfId="3" applyFont="1" applyFill="1" applyBorder="1"/>
    <xf numFmtId="44" fontId="5" fillId="0" borderId="0" xfId="3" applyNumberFormat="1" applyFont="1" applyFill="1"/>
    <xf numFmtId="0" fontId="5" fillId="0" borderId="0" xfId="3" applyFont="1" applyFill="1"/>
    <xf numFmtId="0" fontId="5" fillId="0" borderId="0" xfId="3" applyFont="1" applyFill="1"/>
    <xf numFmtId="0" fontId="5" fillId="0" borderId="11" xfId="3" applyFont="1" applyFill="1" applyBorder="1"/>
    <xf numFmtId="0" fontId="6" fillId="0" borderId="11" xfId="3" applyFont="1" applyFill="1" applyBorder="1" applyAlignment="1">
      <alignment horizontal="left" indent="2"/>
    </xf>
    <xf numFmtId="0" fontId="5" fillId="0" borderId="12" xfId="3" applyFont="1" applyFill="1" applyBorder="1"/>
    <xf numFmtId="0" fontId="5" fillId="0" borderId="13" xfId="3" applyFont="1" applyFill="1" applyBorder="1"/>
    <xf numFmtId="0" fontId="5" fillId="0" borderId="14" xfId="3" applyFont="1" applyFill="1" applyBorder="1"/>
    <xf numFmtId="0" fontId="6" fillId="0" borderId="14" xfId="3" applyFont="1" applyFill="1" applyBorder="1"/>
    <xf numFmtId="3" fontId="5" fillId="0" borderId="18" xfId="3" applyNumberFormat="1" applyFont="1" applyFill="1" applyBorder="1"/>
    <xf numFmtId="3" fontId="5" fillId="0" borderId="0" xfId="3" applyNumberFormat="1" applyFont="1" applyFill="1" applyBorder="1"/>
    <xf numFmtId="3" fontId="5" fillId="0" borderId="19" xfId="3" applyNumberFormat="1" applyFont="1" applyFill="1" applyBorder="1"/>
    <xf numFmtId="3" fontId="5" fillId="0" borderId="20" xfId="3" applyNumberFormat="1" applyFont="1" applyFill="1" applyBorder="1"/>
    <xf numFmtId="3" fontId="5" fillId="0" borderId="21" xfId="3" applyNumberFormat="1" applyFont="1" applyFill="1" applyBorder="1"/>
    <xf numFmtId="3" fontId="5" fillId="0" borderId="22" xfId="3" applyNumberFormat="1" applyFont="1" applyFill="1" applyBorder="1"/>
    <xf numFmtId="0" fontId="5" fillId="0" borderId="0" xfId="3" applyFont="1" applyFill="1"/>
    <xf numFmtId="0" fontId="5" fillId="0" borderId="0" xfId="3" applyFont="1" applyFill="1"/>
    <xf numFmtId="0" fontId="5" fillId="0" borderId="0" xfId="3" applyFont="1" applyFill="1"/>
    <xf numFmtId="0" fontId="5" fillId="0" borderId="18" xfId="3" applyNumberFormat="1" applyFont="1" applyFill="1" applyBorder="1"/>
    <xf numFmtId="0" fontId="8" fillId="0" borderId="1" xfId="3" applyFont="1" applyFill="1" applyBorder="1"/>
    <xf numFmtId="3" fontId="4" fillId="0" borderId="18" xfId="3" applyNumberFormat="1" applyFont="1" applyFill="1" applyBorder="1"/>
    <xf numFmtId="3" fontId="4" fillId="0" borderId="0" xfId="3" applyNumberFormat="1" applyFont="1" applyFill="1" applyBorder="1"/>
    <xf numFmtId="3" fontId="4" fillId="0" borderId="19" xfId="3" applyNumberFormat="1" applyFont="1" applyFill="1" applyBorder="1"/>
    <xf numFmtId="44" fontId="4" fillId="0" borderId="0" xfId="3" applyNumberFormat="1" applyFont="1" applyFill="1"/>
    <xf numFmtId="0" fontId="5" fillId="0" borderId="0" xfId="3" applyFont="1" applyFill="1"/>
    <xf numFmtId="44" fontId="0" fillId="0" borderId="0" xfId="1" applyFont="1"/>
    <xf numFmtId="6" fontId="0" fillId="0" borderId="0" xfId="0" applyNumberFormat="1"/>
    <xf numFmtId="6" fontId="10" fillId="0" borderId="24" xfId="0" applyNumberFormat="1" applyFont="1" applyBorder="1" applyAlignment="1">
      <alignment vertical="top" wrapText="1"/>
    </xf>
    <xf numFmtId="6" fontId="10" fillId="0" borderId="23" xfId="0" applyNumberFormat="1" applyFont="1" applyBorder="1" applyAlignment="1">
      <alignment vertical="top" wrapText="1"/>
    </xf>
    <xf numFmtId="6" fontId="10" fillId="0" borderId="25" xfId="0" applyNumberFormat="1" applyFont="1" applyBorder="1" applyAlignment="1">
      <alignment vertical="top" wrapText="1"/>
    </xf>
    <xf numFmtId="6" fontId="10" fillId="0" borderId="26" xfId="0" applyNumberFormat="1" applyFont="1" applyBorder="1" applyAlignment="1">
      <alignment vertical="top" wrapText="1"/>
    </xf>
    <xf numFmtId="0" fontId="6" fillId="0" borderId="12" xfId="3" applyFont="1" applyFill="1" applyBorder="1" applyAlignment="1">
      <alignment horizontal="left" indent="2"/>
    </xf>
    <xf numFmtId="44" fontId="7" fillId="2" borderId="0" xfId="1" applyFont="1" applyFill="1" applyAlignment="1">
      <alignment horizontal="center"/>
    </xf>
    <xf numFmtId="44" fontId="5" fillId="2" borderId="0" xfId="1" applyFont="1" applyFill="1"/>
    <xf numFmtId="0" fontId="5" fillId="0" borderId="0" xfId="3" applyFont="1" applyFill="1"/>
    <xf numFmtId="0" fontId="5" fillId="0" borderId="0" xfId="3" applyFont="1" applyFill="1"/>
    <xf numFmtId="0" fontId="5" fillId="0" borderId="21" xfId="3" applyFont="1" applyFill="1" applyBorder="1" applyAlignment="1">
      <alignment horizontal="left" wrapText="1"/>
    </xf>
    <xf numFmtId="3" fontId="5" fillId="0" borderId="15" xfId="3" applyNumberFormat="1" applyFont="1" applyFill="1" applyBorder="1" applyAlignment="1">
      <alignment horizontal="center"/>
    </xf>
    <xf numFmtId="3" fontId="5" fillId="0" borderId="16" xfId="3" applyNumberFormat="1" applyFont="1" applyFill="1" applyBorder="1" applyAlignment="1">
      <alignment horizontal="center"/>
    </xf>
    <xf numFmtId="3" fontId="5" fillId="0" borderId="17" xfId="3" applyNumberFormat="1" applyFont="1" applyFill="1" applyBorder="1" applyAlignment="1">
      <alignment horizontal="center"/>
    </xf>
    <xf numFmtId="0" fontId="5" fillId="0" borderId="0" xfId="3" applyFont="1" applyFill="1"/>
    <xf numFmtId="0" fontId="5" fillId="0" borderId="0" xfId="3" applyFont="1" applyFill="1" applyAlignment="1">
      <alignment horizontal="left" wrapText="1"/>
    </xf>
    <xf numFmtId="0" fontId="5" fillId="0" borderId="21" xfId="3" applyFont="1" applyFill="1" applyBorder="1" applyAlignment="1">
      <alignment horizontal="left"/>
    </xf>
    <xf numFmtId="42" fontId="5" fillId="2" borderId="4" xfId="1" applyNumberFormat="1" applyFont="1" applyFill="1" applyBorder="1"/>
    <xf numFmtId="42" fontId="5" fillId="0" borderId="4" xfId="1" applyNumberFormat="1" applyFont="1" applyFill="1" applyBorder="1"/>
    <xf numFmtId="42" fontId="5" fillId="0" borderId="0" xfId="1" applyNumberFormat="1" applyFont="1" applyFill="1"/>
    <xf numFmtId="42" fontId="5" fillId="2" borderId="5" xfId="1" applyNumberFormat="1" applyFont="1" applyFill="1" applyBorder="1"/>
    <xf numFmtId="42" fontId="5" fillId="0" borderId="5" xfId="1" applyNumberFormat="1" applyFont="1" applyFill="1" applyBorder="1"/>
    <xf numFmtId="42" fontId="4" fillId="2" borderId="9" xfId="1" applyNumberFormat="1" applyFont="1" applyFill="1" applyBorder="1"/>
    <xf numFmtId="42" fontId="4" fillId="0" borderId="9" xfId="1" applyNumberFormat="1" applyFont="1" applyFill="1" applyBorder="1"/>
    <xf numFmtId="42" fontId="4" fillId="0" borderId="1" xfId="1" applyNumberFormat="1" applyFont="1" applyFill="1" applyBorder="1"/>
    <xf numFmtId="42" fontId="5" fillId="2" borderId="0" xfId="1" applyNumberFormat="1" applyFont="1" applyFill="1"/>
    <xf numFmtId="42" fontId="4" fillId="2" borderId="1" xfId="1" applyNumberFormat="1" applyFont="1" applyFill="1" applyBorder="1"/>
    <xf numFmtId="42" fontId="5" fillId="0" borderId="1" xfId="1" applyNumberFormat="1" applyFont="1" applyFill="1" applyBorder="1"/>
    <xf numFmtId="42" fontId="5" fillId="2" borderId="0" xfId="3" applyNumberFormat="1" applyFont="1" applyFill="1"/>
    <xf numFmtId="42" fontId="5" fillId="0" borderId="0" xfId="3" applyNumberFormat="1" applyFont="1" applyFill="1"/>
    <xf numFmtId="42" fontId="5" fillId="2" borderId="14" xfId="1" applyNumberFormat="1" applyFont="1" applyFill="1" applyBorder="1"/>
    <xf numFmtId="42" fontId="5" fillId="0" borderId="14" xfId="1" applyNumberFormat="1" applyFont="1" applyFill="1" applyBorder="1"/>
    <xf numFmtId="42" fontId="5" fillId="0" borderId="13" xfId="1" applyNumberFormat="1" applyFont="1" applyFill="1" applyBorder="1"/>
    <xf numFmtId="42" fontId="5" fillId="2" borderId="11" xfId="1" applyNumberFormat="1" applyFont="1" applyFill="1" applyBorder="1"/>
    <xf numFmtId="42" fontId="5" fillId="0" borderId="11" xfId="1" applyNumberFormat="1" applyFont="1" applyFill="1" applyBorder="1"/>
    <xf numFmtId="42" fontId="4" fillId="2" borderId="0" xfId="1" applyNumberFormat="1" applyFont="1" applyFill="1" applyBorder="1"/>
    <xf numFmtId="42" fontId="4" fillId="0" borderId="0" xfId="1" applyNumberFormat="1" applyFont="1" applyFill="1" applyBorder="1"/>
    <xf numFmtId="42" fontId="5" fillId="0" borderId="0" xfId="1" applyNumberFormat="1" applyFont="1" applyFill="1" applyBorder="1"/>
    <xf numFmtId="42" fontId="4" fillId="2" borderId="0" xfId="1" applyNumberFormat="1" applyFont="1" applyFill="1"/>
    <xf numFmtId="42" fontId="4" fillId="2" borderId="10" xfId="1" applyNumberFormat="1" applyFont="1" applyFill="1" applyBorder="1"/>
    <xf numFmtId="42" fontId="4" fillId="0" borderId="10" xfId="1" applyNumberFormat="1" applyFont="1" applyFill="1" applyBorder="1"/>
    <xf numFmtId="42" fontId="4" fillId="0" borderId="0" xfId="1" applyNumberFormat="1" applyFont="1" applyFill="1"/>
  </cellXfs>
  <cellStyles count="5">
    <cellStyle name="Currency" xfId="1" builtinId="4"/>
    <cellStyle name="Currency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tabSelected="1" zoomScaleNormal="100" workbookViewId="0">
      <pane xSplit="8" topLeftCell="T1" activePane="topRight" state="frozen"/>
      <selection pane="topRight"/>
    </sheetView>
  </sheetViews>
  <sheetFormatPr defaultColWidth="9.140625" defaultRowHeight="12"/>
  <cols>
    <col min="1" max="1" width="22" style="2" customWidth="1"/>
    <col min="2" max="2" width="2.85546875" style="2" customWidth="1"/>
    <col min="3" max="3" width="26.28515625" style="2" customWidth="1"/>
    <col min="4" max="4" width="12" style="2" bestFit="1" customWidth="1"/>
    <col min="5" max="5" width="13.85546875" style="57" customWidth="1"/>
    <col min="6" max="7" width="13.85546875" style="1" customWidth="1"/>
    <col min="8" max="8" width="13.85546875" style="1" hidden="1" customWidth="1"/>
    <col min="9" max="9" width="13.42578125" style="2" hidden="1" customWidth="1"/>
    <col min="10" max="10" width="14.7109375" style="2" hidden="1" customWidth="1"/>
    <col min="11" max="11" width="9.140625" style="2" hidden="1" customWidth="1"/>
    <col min="12" max="12" width="15" style="2" hidden="1" customWidth="1"/>
    <col min="13" max="14" width="14.28515625" style="2" hidden="1" customWidth="1"/>
    <col min="15" max="16" width="9.140625" style="2" hidden="1" customWidth="1"/>
    <col min="17" max="17" width="13.28515625" style="2" hidden="1" customWidth="1"/>
    <col min="18" max="19" width="9.140625" style="2" hidden="1" customWidth="1"/>
    <col min="20" max="31" width="10.7109375" style="3" customWidth="1"/>
    <col min="32" max="33" width="9.140625" style="2" customWidth="1"/>
    <col min="34" max="16384" width="9.140625" style="2"/>
  </cols>
  <sheetData>
    <row r="1" spans="1:31" ht="16.5">
      <c r="A1" s="7" t="s">
        <v>0</v>
      </c>
      <c r="E1" s="56" t="s">
        <v>23</v>
      </c>
      <c r="F1" s="4" t="s">
        <v>1</v>
      </c>
      <c r="G1" s="4" t="s">
        <v>2</v>
      </c>
      <c r="J1" s="26" t="s">
        <v>37</v>
      </c>
      <c r="T1" s="61" t="s">
        <v>43</v>
      </c>
      <c r="U1" s="62"/>
      <c r="V1" s="63"/>
      <c r="W1" s="61" t="s">
        <v>41</v>
      </c>
      <c r="X1" s="62"/>
      <c r="Y1" s="63"/>
      <c r="Z1" s="61" t="s">
        <v>42</v>
      </c>
      <c r="AA1" s="62"/>
      <c r="AB1" s="63"/>
      <c r="AC1" s="61" t="s">
        <v>23</v>
      </c>
      <c r="AD1" s="62"/>
      <c r="AE1" s="63"/>
    </row>
    <row r="2" spans="1:31">
      <c r="T2" s="33"/>
      <c r="U2" s="34"/>
      <c r="V2" s="35"/>
      <c r="W2" s="33"/>
      <c r="X2" s="34"/>
      <c r="Y2" s="35"/>
      <c r="Z2" s="33"/>
      <c r="AA2" s="34"/>
      <c r="AB2" s="35"/>
      <c r="AC2" s="33"/>
      <c r="AD2" s="34"/>
      <c r="AE2" s="35"/>
    </row>
    <row r="3" spans="1:31">
      <c r="A3" s="8" t="s">
        <v>52</v>
      </c>
      <c r="B3" s="9"/>
      <c r="C3" s="10"/>
      <c r="D3" s="5">
        <v>55</v>
      </c>
      <c r="E3" s="67">
        <f>+D3*D4</f>
        <v>124245</v>
      </c>
      <c r="F3" s="68">
        <f>+E3*1</f>
        <v>124245</v>
      </c>
      <c r="G3" s="68">
        <v>0</v>
      </c>
      <c r="H3" s="69"/>
      <c r="T3" s="33"/>
      <c r="U3" s="34"/>
      <c r="V3" s="35"/>
      <c r="W3" s="33"/>
      <c r="X3" s="34"/>
      <c r="Y3" s="35"/>
      <c r="Z3" s="33"/>
      <c r="AA3" s="34"/>
      <c r="AB3" s="35"/>
      <c r="AC3" s="33"/>
      <c r="AD3" s="34"/>
      <c r="AE3" s="35"/>
    </row>
    <row r="4" spans="1:31">
      <c r="A4" s="11"/>
      <c r="B4" s="12"/>
      <c r="C4" s="21" t="s">
        <v>21</v>
      </c>
      <c r="D4" s="12">
        <f>ROUND((6240*(0.33+0.33+0.33)/3),0)+200</f>
        <v>2259</v>
      </c>
      <c r="E4" s="70"/>
      <c r="F4" s="71"/>
      <c r="G4" s="71"/>
      <c r="H4" s="69"/>
      <c r="I4" s="13"/>
      <c r="T4" s="33"/>
      <c r="U4" s="34"/>
      <c r="V4" s="35"/>
      <c r="W4" s="33"/>
      <c r="X4" s="34"/>
      <c r="Y4" s="35"/>
      <c r="Z4" s="33"/>
      <c r="AA4" s="34"/>
      <c r="AB4" s="35"/>
      <c r="AC4" s="33"/>
      <c r="AD4" s="34"/>
      <c r="AE4" s="35"/>
    </row>
    <row r="5" spans="1:31">
      <c r="A5" s="8" t="s">
        <v>44</v>
      </c>
      <c r="B5" s="9"/>
      <c r="C5" s="10" t="s">
        <v>30</v>
      </c>
      <c r="D5" s="5">
        <v>25</v>
      </c>
      <c r="E5" s="67">
        <f>+D5*D6</f>
        <v>117000</v>
      </c>
      <c r="F5" s="68">
        <f>+E5*1</f>
        <v>117000</v>
      </c>
      <c r="G5" s="68">
        <v>0</v>
      </c>
      <c r="H5" s="69"/>
      <c r="T5" s="33"/>
      <c r="U5" s="34"/>
      <c r="V5" s="35"/>
      <c r="W5" s="33"/>
      <c r="X5" s="34"/>
      <c r="Y5" s="35"/>
      <c r="Z5" s="33"/>
      <c r="AA5" s="34"/>
      <c r="AB5" s="35"/>
      <c r="AC5" s="33"/>
      <c r="AD5" s="34"/>
      <c r="AE5" s="35"/>
    </row>
    <row r="6" spans="1:31">
      <c r="A6" s="11"/>
      <c r="B6" s="12"/>
      <c r="C6" s="21" t="s">
        <v>21</v>
      </c>
      <c r="D6" s="12">
        <f>6240*(0.75+0.75+0.75)/3</f>
        <v>4680</v>
      </c>
      <c r="E6" s="70"/>
      <c r="F6" s="71"/>
      <c r="G6" s="71"/>
      <c r="H6" s="69"/>
      <c r="I6" s="13"/>
      <c r="T6" s="33"/>
      <c r="U6" s="34"/>
      <c r="V6" s="35"/>
      <c r="W6" s="33"/>
      <c r="X6" s="34"/>
      <c r="Y6" s="35"/>
      <c r="Z6" s="33"/>
      <c r="AA6" s="34"/>
      <c r="AB6" s="35"/>
      <c r="AC6" s="33"/>
      <c r="AD6" s="34"/>
      <c r="AE6" s="35"/>
    </row>
    <row r="7" spans="1:31" ht="12" customHeight="1">
      <c r="A7" s="14" t="s">
        <v>28</v>
      </c>
      <c r="B7" s="9"/>
      <c r="C7" s="10" t="s">
        <v>29</v>
      </c>
      <c r="D7" s="5">
        <v>23</v>
      </c>
      <c r="E7" s="67">
        <f>+D7*D8</f>
        <v>28704.000000000004</v>
      </c>
      <c r="F7" s="68">
        <f>E7*1</f>
        <v>28704.000000000004</v>
      </c>
      <c r="G7" s="68">
        <v>0</v>
      </c>
      <c r="H7" s="69"/>
      <c r="I7" s="24"/>
      <c r="T7" s="33"/>
      <c r="U7" s="34"/>
      <c r="V7" s="35"/>
      <c r="W7" s="33"/>
      <c r="X7" s="34"/>
      <c r="Y7" s="35"/>
      <c r="Z7" s="33"/>
      <c r="AA7" s="34"/>
      <c r="AB7" s="35"/>
      <c r="AC7" s="33"/>
      <c r="AD7" s="34"/>
      <c r="AE7" s="35"/>
    </row>
    <row r="8" spans="1:31">
      <c r="A8" s="15"/>
      <c r="B8" s="12"/>
      <c r="C8" s="21" t="s">
        <v>21</v>
      </c>
      <c r="D8" s="12">
        <f>6240*(0.2+0.2+0.2)/3</f>
        <v>1248.0000000000002</v>
      </c>
      <c r="E8" s="70"/>
      <c r="F8" s="71"/>
      <c r="G8" s="71"/>
      <c r="H8" s="69"/>
      <c r="P8" s="26" t="s">
        <v>40</v>
      </c>
      <c r="T8" s="33"/>
      <c r="U8" s="34"/>
      <c r="V8" s="35"/>
      <c r="W8" s="33"/>
      <c r="X8" s="34"/>
      <c r="Y8" s="35"/>
      <c r="Z8" s="33"/>
      <c r="AA8" s="34"/>
      <c r="AB8" s="35"/>
      <c r="AC8" s="33"/>
      <c r="AD8" s="34"/>
      <c r="AE8" s="35"/>
    </row>
    <row r="9" spans="1:31" s="6" customFormat="1">
      <c r="A9" s="17" t="s">
        <v>3</v>
      </c>
      <c r="B9" s="17"/>
      <c r="C9" s="17"/>
      <c r="D9" s="17"/>
      <c r="E9" s="72">
        <f>SUM(E3:E8)</f>
        <v>269949</v>
      </c>
      <c r="F9" s="73">
        <f>SUM(F3:F8)</f>
        <v>269949</v>
      </c>
      <c r="G9" s="73">
        <f>SUM(G3:G8)</f>
        <v>0</v>
      </c>
      <c r="H9" s="74">
        <f>+F9+G9</f>
        <v>269949</v>
      </c>
      <c r="I9" s="6" t="s">
        <v>20</v>
      </c>
      <c r="J9" s="47">
        <f>G9</f>
        <v>0</v>
      </c>
      <c r="K9" s="6" t="s">
        <v>20</v>
      </c>
      <c r="P9" s="6" t="s">
        <v>31</v>
      </c>
      <c r="Q9" s="47" t="e">
        <f>J9+J12+#REF!+#REF!+#REF!+#REF!</f>
        <v>#REF!</v>
      </c>
      <c r="T9" s="44">
        <f>E9/3</f>
        <v>89983</v>
      </c>
      <c r="U9" s="45">
        <f t="shared" ref="U9:V9" si="0">F9/3</f>
        <v>89983</v>
      </c>
      <c r="V9" s="46">
        <f t="shared" si="0"/>
        <v>0</v>
      </c>
      <c r="W9" s="44">
        <f>E9/3</f>
        <v>89983</v>
      </c>
      <c r="X9" s="45">
        <f t="shared" ref="X9:Y9" si="1">F9/3</f>
        <v>89983</v>
      </c>
      <c r="Y9" s="46">
        <f t="shared" si="1"/>
        <v>0</v>
      </c>
      <c r="Z9" s="44">
        <f>E9/3</f>
        <v>89983</v>
      </c>
      <c r="AA9" s="45">
        <f t="shared" ref="AA9:AB9" si="2">F9/3</f>
        <v>89983</v>
      </c>
      <c r="AB9" s="46">
        <f t="shared" si="2"/>
        <v>0</v>
      </c>
      <c r="AC9" s="44">
        <f>T9+W9+Z9</f>
        <v>269949</v>
      </c>
      <c r="AD9" s="45">
        <f t="shared" ref="AD9:AE9" si="3">U9+X9+AA9</f>
        <v>269949</v>
      </c>
      <c r="AE9" s="46">
        <f t="shared" si="3"/>
        <v>0</v>
      </c>
    </row>
    <row r="10" spans="1:31">
      <c r="E10" s="75"/>
      <c r="F10" s="69"/>
      <c r="G10" s="69"/>
      <c r="H10" s="69"/>
      <c r="P10" s="26" t="s">
        <v>38</v>
      </c>
      <c r="Q10" s="2" t="e">
        <f>#REF!</f>
        <v>#REF!</v>
      </c>
      <c r="T10" s="33"/>
      <c r="U10" s="34"/>
      <c r="V10" s="35"/>
      <c r="W10" s="33"/>
      <c r="X10" s="34"/>
      <c r="Y10" s="35"/>
      <c r="Z10" s="33"/>
      <c r="AA10" s="34"/>
      <c r="AB10" s="35"/>
      <c r="AC10" s="33"/>
      <c r="AD10" s="34"/>
      <c r="AE10" s="35"/>
    </row>
    <row r="11" spans="1:31" ht="15">
      <c r="A11" s="7" t="s">
        <v>4</v>
      </c>
      <c r="E11" s="75"/>
      <c r="F11" s="69"/>
      <c r="G11" s="69"/>
      <c r="H11" s="69"/>
      <c r="P11" s="26" t="s">
        <v>20</v>
      </c>
      <c r="Q11" s="24" t="e">
        <f>#REF!+#REF!+#REF!</f>
        <v>#REF!</v>
      </c>
      <c r="T11" s="33"/>
      <c r="U11" s="34"/>
      <c r="V11" s="35"/>
      <c r="W11" s="33"/>
      <c r="X11" s="34"/>
      <c r="Y11" s="35"/>
      <c r="Z11" s="33"/>
      <c r="AA11" s="34"/>
      <c r="AB11" s="35"/>
      <c r="AC11" s="33"/>
      <c r="AD11" s="34"/>
      <c r="AE11" s="35"/>
    </row>
    <row r="12" spans="1:31" s="6" customFormat="1">
      <c r="A12" s="17" t="s">
        <v>25</v>
      </c>
      <c r="B12" s="17"/>
      <c r="C12" s="17"/>
      <c r="D12" s="17"/>
      <c r="E12" s="76">
        <f>E9*0.3</f>
        <v>80984.7</v>
      </c>
      <c r="F12" s="73">
        <f>F9*0.3</f>
        <v>80984.7</v>
      </c>
      <c r="G12" s="73">
        <f>G9*0.3</f>
        <v>0</v>
      </c>
      <c r="H12" s="74">
        <f>+F12+G12</f>
        <v>80984.7</v>
      </c>
      <c r="I12" s="6" t="s">
        <v>20</v>
      </c>
      <c r="J12" s="47">
        <f>G12</f>
        <v>0</v>
      </c>
      <c r="K12" s="6" t="s">
        <v>20</v>
      </c>
      <c r="P12" s="6" t="s">
        <v>32</v>
      </c>
      <c r="Q12" s="47">
        <f>J38</f>
        <v>0</v>
      </c>
      <c r="T12" s="44">
        <f>E12/3</f>
        <v>26994.899999999998</v>
      </c>
      <c r="U12" s="45">
        <f t="shared" ref="U12" si="4">F12/3</f>
        <v>26994.899999999998</v>
      </c>
      <c r="V12" s="46">
        <f t="shared" ref="V12" si="5">G12/3</f>
        <v>0</v>
      </c>
      <c r="W12" s="44">
        <f>E12/3</f>
        <v>26994.899999999998</v>
      </c>
      <c r="X12" s="45">
        <f t="shared" ref="X12" si="6">F12/3</f>
        <v>26994.899999999998</v>
      </c>
      <c r="Y12" s="46">
        <f t="shared" ref="Y12" si="7">G12/3</f>
        <v>0</v>
      </c>
      <c r="Z12" s="44">
        <f>E12/3</f>
        <v>26994.899999999998</v>
      </c>
      <c r="AA12" s="45">
        <f t="shared" ref="AA12" si="8">F12/3</f>
        <v>26994.899999999998</v>
      </c>
      <c r="AB12" s="46">
        <f t="shared" ref="AB12" si="9">G12/3</f>
        <v>0</v>
      </c>
      <c r="AC12" s="44">
        <f>T12+W12+Z12</f>
        <v>80984.7</v>
      </c>
      <c r="AD12" s="45">
        <f t="shared" ref="AD12" si="10">U12+X12+AA12</f>
        <v>80984.7</v>
      </c>
      <c r="AE12" s="46">
        <f t="shared" ref="AE12" si="11">V12+Y12+AB12</f>
        <v>0</v>
      </c>
    </row>
    <row r="13" spans="1:31">
      <c r="E13" s="75"/>
      <c r="F13" s="69"/>
      <c r="G13" s="69"/>
      <c r="H13" s="69"/>
      <c r="Q13" s="24" t="e">
        <f>SUM(Q9:Q12)</f>
        <v>#REF!</v>
      </c>
      <c r="T13" s="33"/>
      <c r="U13" s="34"/>
      <c r="V13" s="35"/>
      <c r="W13" s="33"/>
      <c r="X13" s="34"/>
      <c r="Y13" s="35"/>
      <c r="Z13" s="33"/>
      <c r="AA13" s="34"/>
      <c r="AB13" s="35"/>
      <c r="AC13" s="33"/>
      <c r="AD13" s="34"/>
      <c r="AE13" s="35"/>
    </row>
    <row r="14" spans="1:31" ht="15">
      <c r="A14" s="7" t="s">
        <v>5</v>
      </c>
      <c r="E14" s="75"/>
      <c r="F14" s="69"/>
      <c r="G14" s="69"/>
      <c r="H14" s="69"/>
      <c r="L14" s="59" t="s">
        <v>69</v>
      </c>
      <c r="M14" s="59" t="s">
        <v>70</v>
      </c>
      <c r="Q14" s="24">
        <f>F64</f>
        <v>1589750.95</v>
      </c>
      <c r="T14" s="33"/>
      <c r="U14" s="34"/>
      <c r="V14" s="35"/>
      <c r="W14" s="33"/>
      <c r="X14" s="34"/>
      <c r="Y14" s="35"/>
      <c r="Z14" s="33"/>
      <c r="AA14" s="34"/>
      <c r="AB14" s="35"/>
      <c r="AC14" s="33"/>
      <c r="AD14" s="34"/>
      <c r="AE14" s="35"/>
    </row>
    <row r="15" spans="1:31" ht="26.25" customHeight="1">
      <c r="A15" s="65" t="s">
        <v>64</v>
      </c>
      <c r="B15" s="65"/>
      <c r="C15" s="65"/>
      <c r="D15" s="65"/>
      <c r="E15" s="75">
        <f>F15+G15</f>
        <v>10216</v>
      </c>
      <c r="F15" s="69">
        <f>14*200+4*577</f>
        <v>5108</v>
      </c>
      <c r="G15" s="69">
        <f>14*200+4*577</f>
        <v>5108</v>
      </c>
      <c r="H15" s="69"/>
      <c r="J15" s="24">
        <f>G15</f>
        <v>5108</v>
      </c>
      <c r="K15" s="58" t="s">
        <v>31</v>
      </c>
      <c r="M15" s="24">
        <f>J15</f>
        <v>5108</v>
      </c>
      <c r="T15" s="33">
        <f>E15/3</f>
        <v>3405.3333333333335</v>
      </c>
      <c r="U15" s="34">
        <f t="shared" ref="U15:U17" si="12">F15/3</f>
        <v>1702.6666666666667</v>
      </c>
      <c r="V15" s="35">
        <f t="shared" ref="V15:V17" si="13">G15/3</f>
        <v>1702.6666666666667</v>
      </c>
      <c r="W15" s="33">
        <f>E15/3</f>
        <v>3405.3333333333335</v>
      </c>
      <c r="X15" s="34">
        <f>F15/3-0.5</f>
        <v>1702.1666666666667</v>
      </c>
      <c r="Y15" s="35">
        <f>G15/3-0.5</f>
        <v>1702.1666666666667</v>
      </c>
      <c r="Z15" s="33">
        <f>E15/3</f>
        <v>3405.3333333333335</v>
      </c>
      <c r="AA15" s="34">
        <f t="shared" ref="AA15:AA17" si="14">F15/3</f>
        <v>1702.6666666666667</v>
      </c>
      <c r="AB15" s="35">
        <f t="shared" ref="AB15:AB17" si="15">G15/3</f>
        <v>1702.6666666666667</v>
      </c>
      <c r="AC15" s="33">
        <f>T15+W15+Z15</f>
        <v>10216</v>
      </c>
      <c r="AD15" s="34">
        <f t="shared" ref="AD15:AD17" si="16">U15+X15+AA15</f>
        <v>5107.5</v>
      </c>
      <c r="AE15" s="35">
        <f t="shared" ref="AE15:AE17" si="17">V15+Y15+AB15</f>
        <v>5107.5</v>
      </c>
    </row>
    <row r="16" spans="1:31" ht="37.5" customHeight="1">
      <c r="A16" s="65" t="s">
        <v>65</v>
      </c>
      <c r="B16" s="65"/>
      <c r="C16" s="65"/>
      <c r="D16" s="65"/>
      <c r="E16" s="75">
        <f>F16+G16</f>
        <v>69264</v>
      </c>
      <c r="F16" s="69">
        <f>400*156*0.555</f>
        <v>34632</v>
      </c>
      <c r="G16" s="69">
        <f>400*156*0.555</f>
        <v>34632</v>
      </c>
      <c r="H16" s="69"/>
      <c r="J16" s="24">
        <f>G16</f>
        <v>34632</v>
      </c>
      <c r="K16" s="58" t="s">
        <v>31</v>
      </c>
      <c r="M16" s="24">
        <f t="shared" ref="M16:M17" si="18">J16</f>
        <v>34632</v>
      </c>
      <c r="T16" s="33">
        <f>E16/3</f>
        <v>23088</v>
      </c>
      <c r="U16" s="34">
        <f t="shared" si="12"/>
        <v>11544</v>
      </c>
      <c r="V16" s="35">
        <f t="shared" si="13"/>
        <v>11544</v>
      </c>
      <c r="W16" s="33">
        <f>E16/3</f>
        <v>23088</v>
      </c>
      <c r="X16" s="34">
        <f t="shared" ref="X15:X17" si="19">F16/3</f>
        <v>11544</v>
      </c>
      <c r="Y16" s="35">
        <f t="shared" ref="Y15:Y17" si="20">G16/3</f>
        <v>11544</v>
      </c>
      <c r="Z16" s="33">
        <f>E16/3</f>
        <v>23088</v>
      </c>
      <c r="AA16" s="34">
        <f t="shared" si="14"/>
        <v>11544</v>
      </c>
      <c r="AB16" s="35">
        <f t="shared" si="15"/>
        <v>11544</v>
      </c>
      <c r="AC16" s="33">
        <f>T16+W16+Z16</f>
        <v>69264</v>
      </c>
      <c r="AD16" s="34">
        <f t="shared" si="16"/>
        <v>34632</v>
      </c>
      <c r="AE16" s="35">
        <f t="shared" si="17"/>
        <v>34632</v>
      </c>
    </row>
    <row r="17" spans="1:31" ht="15.75" customHeight="1">
      <c r="A17" s="65" t="s">
        <v>66</v>
      </c>
      <c r="B17" s="65"/>
      <c r="C17" s="65"/>
      <c r="D17" s="65"/>
      <c r="E17" s="75">
        <f>F17+G17</f>
        <v>15000</v>
      </c>
      <c r="F17" s="69">
        <f>50*150</f>
        <v>7500</v>
      </c>
      <c r="G17" s="69">
        <f>50*150</f>
        <v>7500</v>
      </c>
      <c r="H17" s="69"/>
      <c r="J17" s="24">
        <f>G17</f>
        <v>7500</v>
      </c>
      <c r="K17" s="58" t="s">
        <v>31</v>
      </c>
      <c r="M17" s="24">
        <f t="shared" si="18"/>
        <v>7500</v>
      </c>
      <c r="T17" s="33">
        <f>E17/3</f>
        <v>5000</v>
      </c>
      <c r="U17" s="34">
        <f t="shared" si="12"/>
        <v>2500</v>
      </c>
      <c r="V17" s="35">
        <f t="shared" si="13"/>
        <v>2500</v>
      </c>
      <c r="W17" s="33">
        <f>E17/3</f>
        <v>5000</v>
      </c>
      <c r="X17" s="34">
        <f t="shared" si="19"/>
        <v>2500</v>
      </c>
      <c r="Y17" s="35">
        <f t="shared" si="20"/>
        <v>2500</v>
      </c>
      <c r="Z17" s="33">
        <f>E17/3</f>
        <v>5000</v>
      </c>
      <c r="AA17" s="34">
        <f t="shared" si="14"/>
        <v>2500</v>
      </c>
      <c r="AB17" s="35">
        <f t="shared" si="15"/>
        <v>2500</v>
      </c>
      <c r="AC17" s="33">
        <f>T17+W17+Z17</f>
        <v>15000</v>
      </c>
      <c r="AD17" s="34">
        <f t="shared" si="16"/>
        <v>7500</v>
      </c>
      <c r="AE17" s="35">
        <f t="shared" si="17"/>
        <v>7500</v>
      </c>
    </row>
    <row r="18" spans="1:31" ht="12.75" customHeight="1">
      <c r="A18" s="66" t="s">
        <v>50</v>
      </c>
      <c r="B18" s="66"/>
      <c r="C18" s="66"/>
      <c r="D18" s="66"/>
      <c r="E18" s="75">
        <f>F18+G18</f>
        <v>3000</v>
      </c>
      <c r="F18" s="69">
        <v>3000</v>
      </c>
      <c r="G18" s="69">
        <v>0</v>
      </c>
      <c r="H18" s="69"/>
      <c r="T18" s="33">
        <f>E18/3</f>
        <v>1000</v>
      </c>
      <c r="U18" s="34">
        <f t="shared" ref="U18" si="21">F18/3</f>
        <v>1000</v>
      </c>
      <c r="V18" s="35">
        <f t="shared" ref="V18" si="22">G18/3</f>
        <v>0</v>
      </c>
      <c r="W18" s="33">
        <f>E18/3</f>
        <v>1000</v>
      </c>
      <c r="X18" s="34">
        <f>F18/3</f>
        <v>1000</v>
      </c>
      <c r="Y18" s="35">
        <v>0</v>
      </c>
      <c r="Z18" s="33">
        <f>E18/3</f>
        <v>1000</v>
      </c>
      <c r="AA18" s="34">
        <f>F18/3</f>
        <v>1000</v>
      </c>
      <c r="AB18" s="35">
        <v>0</v>
      </c>
      <c r="AC18" s="33">
        <f>T18+W18+Z18</f>
        <v>3000</v>
      </c>
      <c r="AD18" s="34">
        <f t="shared" ref="AD18" si="23">U18+X18+AA18</f>
        <v>3000</v>
      </c>
      <c r="AE18" s="35">
        <f t="shared" ref="AE18" si="24">V18+Y18+AB18</f>
        <v>0</v>
      </c>
    </row>
    <row r="19" spans="1:31" s="6" customFormat="1">
      <c r="A19" s="17" t="s">
        <v>48</v>
      </c>
      <c r="B19" s="17"/>
      <c r="C19" s="17"/>
      <c r="D19" s="17"/>
      <c r="E19" s="72">
        <f>SUM(E15:E18)</f>
        <v>97480</v>
      </c>
      <c r="F19" s="73">
        <f>SUM(F15:F18)</f>
        <v>50240</v>
      </c>
      <c r="G19" s="73">
        <f>SUM(G15:G18)</f>
        <v>47240</v>
      </c>
      <c r="H19" s="74">
        <f>+F19+G19</f>
        <v>97480</v>
      </c>
      <c r="I19" s="6" t="s">
        <v>33</v>
      </c>
      <c r="N19" s="47">
        <f>SUM(M15:M19)</f>
        <v>47240</v>
      </c>
      <c r="Q19" s="47" t="e">
        <f>Q13+Q14</f>
        <v>#REF!</v>
      </c>
      <c r="T19" s="44">
        <f>E19/3</f>
        <v>32493.333333333332</v>
      </c>
      <c r="U19" s="45">
        <f t="shared" ref="U19" si="25">F19/3</f>
        <v>16746.666666666668</v>
      </c>
      <c r="V19" s="46">
        <f t="shared" ref="V19" si="26">G19/3</f>
        <v>15746.666666666666</v>
      </c>
      <c r="W19" s="44">
        <f>E19/3</f>
        <v>32493.333333333332</v>
      </c>
      <c r="X19" s="45">
        <f t="shared" ref="X19" si="27">F19/3</f>
        <v>16746.666666666668</v>
      </c>
      <c r="Y19" s="46">
        <f t="shared" ref="Y19" si="28">G19/3</f>
        <v>15746.666666666666</v>
      </c>
      <c r="Z19" s="44">
        <f>E19/3</f>
        <v>32493.333333333332</v>
      </c>
      <c r="AA19" s="45">
        <f t="shared" ref="AA19" si="29">F19/3</f>
        <v>16746.666666666668</v>
      </c>
      <c r="AB19" s="46">
        <f t="shared" ref="AB19" si="30">G19/3</f>
        <v>15746.666666666666</v>
      </c>
      <c r="AC19" s="44">
        <f>T19+W19+Z19</f>
        <v>97480</v>
      </c>
      <c r="AD19" s="45">
        <f t="shared" ref="AD19" si="31">U19+X19+AA19</f>
        <v>50240</v>
      </c>
      <c r="AE19" s="46">
        <f t="shared" ref="AE19" si="32">V19+Y19+AB19</f>
        <v>47240</v>
      </c>
    </row>
    <row r="20" spans="1:31">
      <c r="E20" s="75"/>
      <c r="F20" s="69"/>
      <c r="G20" s="69"/>
      <c r="H20" s="69"/>
      <c r="T20" s="33"/>
      <c r="U20" s="34"/>
      <c r="V20" s="35"/>
      <c r="W20" s="33"/>
      <c r="X20" s="34"/>
      <c r="Y20" s="35"/>
      <c r="Z20" s="33"/>
      <c r="AA20" s="34"/>
      <c r="AB20" s="35"/>
      <c r="AC20" s="33"/>
      <c r="AD20" s="34"/>
      <c r="AE20" s="35"/>
    </row>
    <row r="21" spans="1:31" ht="15">
      <c r="A21" s="7" t="s">
        <v>6</v>
      </c>
      <c r="C21" s="2" t="s">
        <v>7</v>
      </c>
      <c r="E21" s="75"/>
      <c r="F21" s="69"/>
      <c r="G21" s="69"/>
      <c r="H21" s="69"/>
      <c r="Q21" s="24"/>
      <c r="T21" s="33"/>
      <c r="U21" s="34"/>
      <c r="V21" s="35"/>
      <c r="W21" s="33"/>
      <c r="X21" s="34"/>
      <c r="Y21" s="35"/>
      <c r="Z21" s="33"/>
      <c r="AA21" s="34"/>
      <c r="AB21" s="35"/>
      <c r="AC21" s="33"/>
      <c r="AD21" s="34"/>
      <c r="AE21" s="35"/>
    </row>
    <row r="22" spans="1:31">
      <c r="A22" s="17" t="s">
        <v>8</v>
      </c>
      <c r="B22" s="18"/>
      <c r="C22" s="18"/>
      <c r="D22" s="18"/>
      <c r="E22" s="72">
        <v>0</v>
      </c>
      <c r="F22" s="73">
        <v>0</v>
      </c>
      <c r="G22" s="73">
        <v>0</v>
      </c>
      <c r="H22" s="77">
        <f>+F22+G22</f>
        <v>0</v>
      </c>
      <c r="T22" s="33"/>
      <c r="U22" s="34"/>
      <c r="V22" s="35"/>
      <c r="W22" s="33"/>
      <c r="X22" s="34"/>
      <c r="Y22" s="35"/>
      <c r="Z22" s="33"/>
      <c r="AA22" s="34"/>
      <c r="AB22" s="35"/>
      <c r="AC22" s="33"/>
      <c r="AD22" s="34"/>
      <c r="AE22" s="35"/>
    </row>
    <row r="23" spans="1:31">
      <c r="E23" s="75"/>
      <c r="F23" s="69"/>
      <c r="G23" s="69"/>
      <c r="H23" s="69"/>
      <c r="T23" s="33"/>
      <c r="U23" s="34"/>
      <c r="V23" s="35"/>
      <c r="W23" s="33"/>
      <c r="X23" s="34"/>
      <c r="Y23" s="35"/>
      <c r="Z23" s="33"/>
      <c r="AA23" s="34"/>
      <c r="AB23" s="35"/>
      <c r="AC23" s="33"/>
      <c r="AD23" s="34"/>
      <c r="AE23" s="35"/>
    </row>
    <row r="24" spans="1:31" ht="15">
      <c r="A24" s="7" t="s">
        <v>9</v>
      </c>
      <c r="E24" s="75"/>
      <c r="F24" s="69"/>
      <c r="G24" s="69"/>
      <c r="H24" s="69"/>
      <c r="T24" s="33"/>
      <c r="U24" s="34"/>
      <c r="V24" s="35"/>
      <c r="W24" s="33"/>
      <c r="X24" s="34"/>
      <c r="Y24" s="35"/>
      <c r="Z24" s="33"/>
      <c r="AA24" s="34"/>
      <c r="AB24" s="35"/>
      <c r="AC24" s="33"/>
      <c r="AD24" s="34"/>
      <c r="AE24" s="35"/>
    </row>
    <row r="25" spans="1:31" ht="13.5" customHeight="1">
      <c r="A25" s="60" t="s">
        <v>71</v>
      </c>
      <c r="B25" s="60"/>
      <c r="C25" s="60"/>
      <c r="D25" s="60"/>
      <c r="E25" s="75">
        <f>E9*0.05</f>
        <v>13497.45</v>
      </c>
      <c r="F25" s="69">
        <f>+E25*1</f>
        <v>13497.45</v>
      </c>
      <c r="G25" s="69">
        <v>0</v>
      </c>
      <c r="H25" s="69"/>
      <c r="T25" s="33"/>
      <c r="U25" s="34"/>
      <c r="V25" s="35"/>
      <c r="W25" s="33"/>
      <c r="X25" s="34"/>
      <c r="Y25" s="35"/>
      <c r="Z25" s="33"/>
      <c r="AA25" s="34"/>
      <c r="AB25" s="35"/>
      <c r="AC25" s="33"/>
      <c r="AD25" s="34"/>
      <c r="AE25" s="35"/>
    </row>
    <row r="26" spans="1:31" s="6" customFormat="1">
      <c r="A26" s="17" t="s">
        <v>26</v>
      </c>
      <c r="B26" s="17"/>
      <c r="C26" s="17"/>
      <c r="D26" s="17"/>
      <c r="E26" s="72">
        <f>SUM(E25:E25)</f>
        <v>13497.45</v>
      </c>
      <c r="F26" s="73">
        <f>SUM(F25:F25)</f>
        <v>13497.45</v>
      </c>
      <c r="G26" s="73">
        <f>SUM(G25:G25)</f>
        <v>0</v>
      </c>
      <c r="H26" s="74">
        <f>+F26+G26</f>
        <v>13497.45</v>
      </c>
      <c r="I26" s="6" t="s">
        <v>33</v>
      </c>
      <c r="T26" s="44">
        <f>E26/3</f>
        <v>4499.1500000000005</v>
      </c>
      <c r="U26" s="45">
        <f t="shared" ref="U26" si="33">F26/3</f>
        <v>4499.1500000000005</v>
      </c>
      <c r="V26" s="46">
        <f t="shared" ref="V26" si="34">G26/3</f>
        <v>0</v>
      </c>
      <c r="W26" s="44">
        <f>E26/3</f>
        <v>4499.1500000000005</v>
      </c>
      <c r="X26" s="45">
        <f t="shared" ref="X26" si="35">F26/3</f>
        <v>4499.1500000000005</v>
      </c>
      <c r="Y26" s="46">
        <f t="shared" ref="Y26" si="36">G26/3</f>
        <v>0</v>
      </c>
      <c r="Z26" s="44">
        <f>E26/3</f>
        <v>4499.1500000000005</v>
      </c>
      <c r="AA26" s="45">
        <f t="shared" ref="AA26" si="37">F26/3</f>
        <v>4499.1500000000005</v>
      </c>
      <c r="AB26" s="46">
        <f t="shared" ref="AB26" si="38">G26/3</f>
        <v>0</v>
      </c>
      <c r="AC26" s="44">
        <f>T26+W26+Z26</f>
        <v>13497.45</v>
      </c>
      <c r="AD26" s="45">
        <f t="shared" ref="AD26" si="39">U26+X26+AA26</f>
        <v>13497.45</v>
      </c>
      <c r="AE26" s="46">
        <f t="shared" ref="AE26" si="40">V26+Y26+AB26</f>
        <v>0</v>
      </c>
    </row>
    <row r="27" spans="1:31">
      <c r="E27" s="75"/>
      <c r="F27" s="69"/>
      <c r="G27" s="69"/>
      <c r="H27" s="69"/>
      <c r="T27" s="33"/>
      <c r="U27" s="34"/>
      <c r="V27" s="35"/>
      <c r="W27" s="33"/>
      <c r="X27" s="34"/>
      <c r="Y27" s="35"/>
      <c r="Z27" s="33"/>
      <c r="AA27" s="34"/>
      <c r="AB27" s="35"/>
      <c r="AC27" s="33"/>
      <c r="AD27" s="34"/>
      <c r="AE27" s="35"/>
    </row>
    <row r="28" spans="1:31" ht="15">
      <c r="A28" s="7" t="s">
        <v>27</v>
      </c>
      <c r="E28" s="78"/>
      <c r="F28" s="79"/>
      <c r="G28" s="69"/>
      <c r="H28" s="69"/>
      <c r="T28" s="33"/>
      <c r="U28" s="34"/>
      <c r="V28" s="35"/>
      <c r="W28" s="33"/>
      <c r="X28" s="34"/>
      <c r="Y28" s="35"/>
      <c r="Z28" s="33"/>
      <c r="AA28" s="34"/>
      <c r="AB28" s="35"/>
      <c r="AC28" s="33"/>
      <c r="AD28" s="34"/>
      <c r="AE28" s="35"/>
    </row>
    <row r="29" spans="1:31" hidden="1">
      <c r="C29" s="2" t="s">
        <v>10</v>
      </c>
      <c r="E29" s="78"/>
      <c r="F29" s="79"/>
      <c r="G29" s="69"/>
      <c r="H29" s="69"/>
      <c r="T29" s="33"/>
      <c r="U29" s="34"/>
      <c r="V29" s="35"/>
      <c r="W29" s="33"/>
      <c r="X29" s="34"/>
      <c r="Y29" s="35"/>
      <c r="Z29" s="33"/>
      <c r="AA29" s="34"/>
      <c r="AB29" s="35"/>
      <c r="AC29" s="33"/>
      <c r="AD29" s="34"/>
      <c r="AE29" s="35"/>
    </row>
    <row r="30" spans="1:31" hidden="1">
      <c r="C30" s="2" t="s">
        <v>22</v>
      </c>
      <c r="E30" s="78"/>
      <c r="F30" s="79"/>
      <c r="G30" s="69"/>
      <c r="H30" s="69"/>
      <c r="T30" s="33"/>
      <c r="U30" s="34"/>
      <c r="V30" s="35"/>
      <c r="W30" s="33"/>
      <c r="X30" s="34"/>
      <c r="Y30" s="35"/>
      <c r="Z30" s="33"/>
      <c r="AA30" s="34"/>
      <c r="AB30" s="35"/>
      <c r="AC30" s="33"/>
      <c r="AD30" s="34"/>
      <c r="AE30" s="35"/>
    </row>
    <row r="31" spans="1:31" hidden="1">
      <c r="C31" s="2" t="s">
        <v>11</v>
      </c>
      <c r="E31" s="78"/>
      <c r="F31" s="79"/>
      <c r="G31" s="69"/>
      <c r="H31" s="69"/>
      <c r="T31" s="33"/>
      <c r="U31" s="34"/>
      <c r="V31" s="35"/>
      <c r="W31" s="33"/>
      <c r="X31" s="34"/>
      <c r="Y31" s="35"/>
      <c r="Z31" s="33"/>
      <c r="AA31" s="34"/>
      <c r="AB31" s="35"/>
      <c r="AC31" s="33"/>
      <c r="AD31" s="34"/>
      <c r="AE31" s="35"/>
    </row>
    <row r="32" spans="1:31" hidden="1">
      <c r="C32" s="2" t="s">
        <v>12</v>
      </c>
      <c r="E32" s="78"/>
      <c r="F32" s="79"/>
      <c r="G32" s="69"/>
      <c r="H32" s="69"/>
      <c r="T32" s="33"/>
      <c r="U32" s="34"/>
      <c r="V32" s="35"/>
      <c r="W32" s="33"/>
      <c r="X32" s="34"/>
      <c r="Y32" s="35"/>
      <c r="Z32" s="33"/>
      <c r="AA32" s="34"/>
      <c r="AB32" s="35"/>
      <c r="AC32" s="33"/>
      <c r="AD32" s="34"/>
      <c r="AE32" s="35"/>
    </row>
    <row r="33" spans="1:33" hidden="1">
      <c r="C33" s="2" t="s">
        <v>13</v>
      </c>
      <c r="E33" s="78"/>
      <c r="F33" s="79"/>
      <c r="G33" s="69"/>
      <c r="H33" s="69"/>
      <c r="T33" s="33"/>
      <c r="U33" s="34"/>
      <c r="V33" s="35"/>
      <c r="W33" s="33"/>
      <c r="X33" s="34"/>
      <c r="Y33" s="35"/>
      <c r="Z33" s="33"/>
      <c r="AA33" s="34"/>
      <c r="AB33" s="35"/>
      <c r="AC33" s="33"/>
      <c r="AD33" s="34"/>
      <c r="AE33" s="35"/>
    </row>
    <row r="34" spans="1:33" hidden="1">
      <c r="E34" s="75"/>
      <c r="F34" s="69"/>
      <c r="G34" s="69"/>
      <c r="H34" s="69"/>
      <c r="T34" s="33"/>
      <c r="U34" s="34"/>
      <c r="V34" s="35"/>
      <c r="W34" s="33"/>
      <c r="X34" s="34"/>
      <c r="Y34" s="35"/>
      <c r="Z34" s="33"/>
      <c r="AA34" s="34"/>
      <c r="AB34" s="35"/>
      <c r="AC34" s="33"/>
      <c r="AD34" s="34"/>
      <c r="AE34" s="35"/>
    </row>
    <row r="35" spans="1:33" hidden="1">
      <c r="C35" s="64"/>
      <c r="D35" s="64"/>
      <c r="E35" s="75"/>
      <c r="F35" s="69"/>
      <c r="G35" s="69"/>
      <c r="H35" s="69"/>
      <c r="T35" s="33"/>
      <c r="U35" s="34"/>
      <c r="V35" s="35"/>
      <c r="W35" s="33"/>
      <c r="X35" s="34"/>
      <c r="Y35" s="35"/>
      <c r="Z35" s="33"/>
      <c r="AA35" s="34"/>
      <c r="AB35" s="35"/>
      <c r="AC35" s="33"/>
      <c r="AD35" s="34"/>
      <c r="AE35" s="35"/>
    </row>
    <row r="36" spans="1:33">
      <c r="A36" s="23" t="s">
        <v>53</v>
      </c>
      <c r="E36" s="75"/>
      <c r="F36" s="69"/>
      <c r="G36" s="69"/>
      <c r="H36" s="69"/>
      <c r="T36" s="33"/>
      <c r="U36" s="34"/>
      <c r="V36" s="35"/>
      <c r="W36" s="33"/>
      <c r="X36" s="34"/>
      <c r="Y36" s="35"/>
      <c r="Z36" s="33"/>
      <c r="AA36" s="34"/>
      <c r="AB36" s="35"/>
      <c r="AC36" s="33"/>
      <c r="AD36" s="34"/>
      <c r="AE36" s="35"/>
    </row>
    <row r="37" spans="1:33">
      <c r="A37" s="29" t="s">
        <v>55</v>
      </c>
      <c r="B37" s="31"/>
      <c r="C37" s="31"/>
      <c r="D37" s="31"/>
      <c r="E37" s="80"/>
      <c r="F37" s="81"/>
      <c r="G37" s="82"/>
      <c r="H37" s="69"/>
      <c r="P37" s="26" t="s">
        <v>39</v>
      </c>
      <c r="T37" s="33"/>
      <c r="U37" s="34"/>
      <c r="V37" s="35"/>
      <c r="W37" s="33"/>
      <c r="X37" s="34"/>
      <c r="Y37" s="35"/>
      <c r="Z37" s="33"/>
      <c r="AA37" s="34"/>
      <c r="AB37" s="35"/>
      <c r="AC37" s="33"/>
      <c r="AD37" s="34"/>
      <c r="AE37" s="35"/>
    </row>
    <row r="38" spans="1:33" s="25" customFormat="1">
      <c r="A38" s="28" t="s">
        <v>54</v>
      </c>
      <c r="B38" s="27"/>
      <c r="C38" s="29"/>
      <c r="D38" s="30"/>
      <c r="E38" s="83">
        <v>750000</v>
      </c>
      <c r="F38" s="84">
        <f>E38</f>
        <v>750000</v>
      </c>
      <c r="G38" s="82">
        <f>E38-F38</f>
        <v>0</v>
      </c>
      <c r="H38" s="69"/>
      <c r="I38" s="26" t="s">
        <v>33</v>
      </c>
      <c r="J38" s="24">
        <f>G38</f>
        <v>0</v>
      </c>
      <c r="K38" s="48" t="s">
        <v>60</v>
      </c>
      <c r="P38" s="26" t="s">
        <v>34</v>
      </c>
      <c r="Q38" s="24">
        <f>F9+F12+(F56*0.5)</f>
        <v>380973.60000000003</v>
      </c>
      <c r="T38" s="33">
        <f t="shared" ref="T38" si="41">E38/3</f>
        <v>250000</v>
      </c>
      <c r="U38" s="34">
        <f t="shared" ref="U38" si="42">F38/3</f>
        <v>250000</v>
      </c>
      <c r="V38" s="35">
        <f t="shared" ref="V38" si="43">G38/3</f>
        <v>0</v>
      </c>
      <c r="W38" s="33">
        <f t="shared" ref="W38" si="44">E38/3</f>
        <v>250000</v>
      </c>
      <c r="X38" s="34">
        <f t="shared" ref="X38" si="45">F38/3</f>
        <v>250000</v>
      </c>
      <c r="Y38" s="35">
        <f t="shared" ref="Y38" si="46">G38/3</f>
        <v>0</v>
      </c>
      <c r="Z38" s="33">
        <f t="shared" ref="Z38" si="47">E38/3</f>
        <v>250000</v>
      </c>
      <c r="AA38" s="34">
        <f t="shared" ref="AA38" si="48">F38/3</f>
        <v>250000</v>
      </c>
      <c r="AB38" s="35">
        <f t="shared" ref="AB38" si="49">G38/3</f>
        <v>0</v>
      </c>
      <c r="AC38" s="33">
        <f>T38+W38+Z38</f>
        <v>750000</v>
      </c>
      <c r="AD38" s="34">
        <f t="shared" ref="AD38" si="50">U38+X38+AA38</f>
        <v>750000</v>
      </c>
      <c r="AE38" s="35">
        <f t="shared" ref="AE38" si="51">V38+Y38+AB38</f>
        <v>0</v>
      </c>
    </row>
    <row r="39" spans="1:33" s="40" customFormat="1">
      <c r="A39" s="28" t="s">
        <v>72</v>
      </c>
      <c r="B39" s="27"/>
      <c r="C39" s="29"/>
      <c r="D39" s="30"/>
      <c r="E39" s="83">
        <v>100000</v>
      </c>
      <c r="F39" s="84">
        <f t="shared" ref="F39" si="52">E39</f>
        <v>100000</v>
      </c>
      <c r="G39" s="82">
        <f>E39-F39</f>
        <v>0</v>
      </c>
      <c r="H39" s="69"/>
      <c r="I39" s="40" t="s">
        <v>33</v>
      </c>
      <c r="J39" s="24">
        <f>G39</f>
        <v>0</v>
      </c>
      <c r="K39" s="48" t="s">
        <v>63</v>
      </c>
      <c r="P39" s="40" t="s">
        <v>35</v>
      </c>
      <c r="Q39" s="24" t="e">
        <f>#REF!+#REF!+#REF!+#REF!+(F57*0.5)</f>
        <v>#REF!</v>
      </c>
      <c r="T39" s="33">
        <f t="shared" ref="T39" si="53">E39/3</f>
        <v>33333.333333333336</v>
      </c>
      <c r="U39" s="34">
        <f t="shared" ref="U39" si="54">F39/3</f>
        <v>33333.333333333336</v>
      </c>
      <c r="V39" s="35">
        <f t="shared" ref="V39" si="55">G39/3</f>
        <v>0</v>
      </c>
      <c r="W39" s="33">
        <f t="shared" ref="W39" si="56">E39/3</f>
        <v>33333.333333333336</v>
      </c>
      <c r="X39" s="34">
        <f t="shared" ref="X39" si="57">F39/3</f>
        <v>33333.333333333336</v>
      </c>
      <c r="Y39" s="35">
        <f t="shared" ref="Y39" si="58">G39/3</f>
        <v>0</v>
      </c>
      <c r="Z39" s="33">
        <f t="shared" ref="Z39" si="59">E39/3</f>
        <v>33333.333333333336</v>
      </c>
      <c r="AA39" s="34">
        <f t="shared" ref="AA39" si="60">F39/3</f>
        <v>33333.333333333336</v>
      </c>
      <c r="AB39" s="35">
        <f t="shared" ref="AB39" si="61">G39/3</f>
        <v>0</v>
      </c>
      <c r="AC39" s="33">
        <f>T39+W39+Z39</f>
        <v>100000</v>
      </c>
      <c r="AD39" s="34">
        <f t="shared" ref="AD39" si="62">U39+X39+AA39</f>
        <v>100000</v>
      </c>
      <c r="AE39" s="35">
        <f t="shared" ref="AE39" si="63">V39+Y39+AB39</f>
        <v>0</v>
      </c>
    </row>
    <row r="40" spans="1:33" s="40" customFormat="1">
      <c r="A40" s="29" t="s">
        <v>45</v>
      </c>
      <c r="B40" s="31"/>
      <c r="C40" s="32"/>
      <c r="D40" s="31"/>
      <c r="E40" s="80"/>
      <c r="F40" s="81"/>
      <c r="G40" s="82"/>
      <c r="H40" s="69"/>
      <c r="T40" s="33"/>
      <c r="U40" s="34"/>
      <c r="V40" s="35"/>
      <c r="W40" s="33"/>
      <c r="X40" s="34"/>
      <c r="Y40" s="35"/>
      <c r="Z40" s="33"/>
      <c r="AA40" s="34"/>
      <c r="AB40" s="35"/>
      <c r="AC40" s="33"/>
      <c r="AD40" s="34"/>
      <c r="AE40" s="35"/>
    </row>
    <row r="41" spans="1:33" s="40" customFormat="1">
      <c r="A41" s="28" t="s">
        <v>46</v>
      </c>
      <c r="B41" s="27"/>
      <c r="C41" s="29"/>
      <c r="D41" s="30"/>
      <c r="E41" s="83">
        <v>75000</v>
      </c>
      <c r="F41" s="84">
        <f>E41</f>
        <v>75000</v>
      </c>
      <c r="G41" s="82">
        <f>E41-F41</f>
        <v>0</v>
      </c>
      <c r="H41" s="69"/>
      <c r="I41" s="40" t="s">
        <v>33</v>
      </c>
      <c r="J41" s="24">
        <f>G41</f>
        <v>0</v>
      </c>
      <c r="K41" s="48" t="s">
        <v>62</v>
      </c>
      <c r="T41" s="33">
        <f>E41/2</f>
        <v>37500</v>
      </c>
      <c r="U41" s="34">
        <f>F41/2</f>
        <v>37500</v>
      </c>
      <c r="V41" s="35">
        <f t="shared" ref="V41" si="64">G41/3</f>
        <v>0</v>
      </c>
      <c r="W41" s="33">
        <f>E41/2</f>
        <v>37500</v>
      </c>
      <c r="X41" s="34">
        <f>F41/2</f>
        <v>37500</v>
      </c>
      <c r="Y41" s="35">
        <f>G41/2</f>
        <v>0</v>
      </c>
      <c r="Z41" s="42"/>
      <c r="AA41" s="34"/>
      <c r="AB41" s="35"/>
      <c r="AC41" s="33">
        <f>T41+W41+Z41</f>
        <v>75000</v>
      </c>
      <c r="AD41" s="34">
        <f t="shared" ref="AD41" si="65">U41+X41+AA41</f>
        <v>75000</v>
      </c>
      <c r="AE41" s="35">
        <f t="shared" ref="AE41" si="66">V41+Y41+AB41</f>
        <v>0</v>
      </c>
      <c r="AG41" s="40">
        <f>400000/3</f>
        <v>133333.33333333334</v>
      </c>
    </row>
    <row r="42" spans="1:33" s="40" customFormat="1">
      <c r="A42" s="29" t="s">
        <v>51</v>
      </c>
      <c r="B42" s="31"/>
      <c r="C42" s="32"/>
      <c r="D42" s="31"/>
      <c r="E42" s="80"/>
      <c r="F42" s="81"/>
      <c r="G42" s="82"/>
      <c r="H42" s="69"/>
      <c r="J42" s="24"/>
      <c r="T42" s="33"/>
      <c r="U42" s="34"/>
      <c r="V42" s="35"/>
      <c r="W42" s="33"/>
      <c r="X42" s="34"/>
      <c r="Y42" s="35"/>
      <c r="Z42" s="33"/>
      <c r="AA42" s="34"/>
      <c r="AB42" s="35"/>
      <c r="AC42" s="33"/>
      <c r="AD42" s="34"/>
      <c r="AE42" s="35"/>
    </row>
    <row r="43" spans="1:33" s="40" customFormat="1">
      <c r="A43" s="28" t="s">
        <v>47</v>
      </c>
      <c r="B43" s="27"/>
      <c r="C43" s="29"/>
      <c r="D43" s="30"/>
      <c r="E43" s="83">
        <v>100000</v>
      </c>
      <c r="F43" s="84">
        <f>E43</f>
        <v>100000</v>
      </c>
      <c r="G43" s="82">
        <f>E43-F43</f>
        <v>0</v>
      </c>
      <c r="H43" s="69"/>
      <c r="I43" s="40" t="s">
        <v>33</v>
      </c>
      <c r="J43" s="24">
        <f>G43</f>
        <v>0</v>
      </c>
      <c r="K43" s="48" t="s">
        <v>61</v>
      </c>
      <c r="L43" s="59" t="s">
        <v>69</v>
      </c>
      <c r="M43" s="59" t="s">
        <v>70</v>
      </c>
      <c r="T43" s="33">
        <f>E43/3</f>
        <v>33333.333333333336</v>
      </c>
      <c r="U43" s="34">
        <f t="shared" ref="U43" si="67">F43/3</f>
        <v>33333.333333333336</v>
      </c>
      <c r="V43" s="35">
        <f t="shared" ref="V43" si="68">G43/3</f>
        <v>0</v>
      </c>
      <c r="W43" s="33">
        <f>E43/3</f>
        <v>33333.333333333336</v>
      </c>
      <c r="X43" s="34">
        <f t="shared" ref="X43" si="69">F43/3</f>
        <v>33333.333333333336</v>
      </c>
      <c r="Y43" s="35">
        <f t="shared" ref="Y43" si="70">G43/3</f>
        <v>0</v>
      </c>
      <c r="Z43" s="33">
        <f>E43/3+0.5</f>
        <v>33333.833333333336</v>
      </c>
      <c r="AA43" s="34">
        <f t="shared" ref="AA43" si="71">F43/3</f>
        <v>33333.333333333336</v>
      </c>
      <c r="AB43" s="35">
        <f t="shared" ref="AB43" si="72">G43/3</f>
        <v>0</v>
      </c>
      <c r="AC43" s="33">
        <f>T43+W43+Z43</f>
        <v>100000.5</v>
      </c>
      <c r="AD43" s="34">
        <f t="shared" ref="AD43" si="73">U43+X43+AA43</f>
        <v>100000</v>
      </c>
      <c r="AE43" s="35">
        <f t="shared" ref="AE43" si="74">V43+Y43+AB43</f>
        <v>0</v>
      </c>
      <c r="AG43" s="40">
        <f>400000/3</f>
        <v>133333.33333333334</v>
      </c>
    </row>
    <row r="44" spans="1:33" s="48" customFormat="1">
      <c r="A44" s="55" t="s">
        <v>56</v>
      </c>
      <c r="B44" s="31"/>
      <c r="C44" s="31"/>
      <c r="D44" s="31"/>
      <c r="E44" s="80">
        <v>990000</v>
      </c>
      <c r="F44" s="81"/>
      <c r="G44" s="82">
        <f>E44-F44</f>
        <v>990000</v>
      </c>
      <c r="H44" s="69"/>
      <c r="I44" s="48" t="s">
        <v>33</v>
      </c>
      <c r="J44" s="24">
        <f>G44</f>
        <v>990000</v>
      </c>
      <c r="K44" s="48" t="s">
        <v>31</v>
      </c>
      <c r="L44" s="24">
        <f>J44*0.55</f>
        <v>544500</v>
      </c>
      <c r="M44" s="24">
        <f>J44*0.45</f>
        <v>445500</v>
      </c>
      <c r="N44" s="24">
        <f>L44+M44</f>
        <v>990000</v>
      </c>
      <c r="T44" s="33">
        <f>E44/3</f>
        <v>330000</v>
      </c>
      <c r="U44" s="34">
        <f t="shared" ref="U44" si="75">F44/3</f>
        <v>0</v>
      </c>
      <c r="V44" s="35">
        <f t="shared" ref="V44" si="76">G44/3</f>
        <v>330000</v>
      </c>
      <c r="W44" s="33">
        <f>E44/3</f>
        <v>330000</v>
      </c>
      <c r="X44" s="34">
        <f t="shared" ref="X44" si="77">F44/3</f>
        <v>0</v>
      </c>
      <c r="Y44" s="35">
        <f t="shared" ref="Y44" si="78">G44/3</f>
        <v>330000</v>
      </c>
      <c r="Z44" s="33">
        <f>E44/3</f>
        <v>330000</v>
      </c>
      <c r="AA44" s="34">
        <f t="shared" ref="AA44" si="79">F44/3</f>
        <v>0</v>
      </c>
      <c r="AB44" s="35">
        <f t="shared" ref="AB44" si="80">G44/3</f>
        <v>330000</v>
      </c>
      <c r="AC44" s="33">
        <f>T44+W44+Z44</f>
        <v>990000</v>
      </c>
      <c r="AD44" s="34">
        <f t="shared" ref="AD44" si="81">U44+X44+AA44</f>
        <v>0</v>
      </c>
      <c r="AE44" s="35">
        <f t="shared" ref="AE44" si="82">V44+Y44+AB44</f>
        <v>990000</v>
      </c>
    </row>
    <row r="45" spans="1:33">
      <c r="A45" s="29" t="s">
        <v>58</v>
      </c>
      <c r="B45" s="31"/>
      <c r="C45" s="32"/>
      <c r="D45" s="31"/>
      <c r="E45" s="80"/>
      <c r="F45" s="81"/>
      <c r="G45" s="82"/>
      <c r="H45" s="69"/>
      <c r="T45" s="33"/>
      <c r="U45" s="34"/>
      <c r="V45" s="35"/>
      <c r="W45" s="33"/>
      <c r="X45" s="34"/>
      <c r="Y45" s="35"/>
      <c r="Z45" s="33"/>
      <c r="AA45" s="34"/>
      <c r="AB45" s="35"/>
      <c r="AC45" s="33"/>
      <c r="AD45" s="34"/>
      <c r="AE45" s="35"/>
    </row>
    <row r="46" spans="1:33" s="39" customFormat="1">
      <c r="A46" s="28" t="s">
        <v>57</v>
      </c>
      <c r="B46" s="27"/>
      <c r="C46" s="29"/>
      <c r="D46" s="30"/>
      <c r="E46" s="83">
        <v>385000</v>
      </c>
      <c r="F46" s="84">
        <v>45000</v>
      </c>
      <c r="G46" s="82">
        <f>E46-F46</f>
        <v>340000</v>
      </c>
      <c r="H46" s="69"/>
      <c r="I46" s="39" t="s">
        <v>33</v>
      </c>
      <c r="J46" s="24">
        <f>G46</f>
        <v>340000</v>
      </c>
      <c r="K46" s="39" t="s">
        <v>31</v>
      </c>
      <c r="L46" s="24">
        <f>J46*0.55</f>
        <v>187000.00000000003</v>
      </c>
      <c r="M46" s="24">
        <f>J46*0.45</f>
        <v>153000</v>
      </c>
      <c r="N46" s="24">
        <f>L46+M46</f>
        <v>340000</v>
      </c>
      <c r="T46" s="33">
        <f>E46/3</f>
        <v>128333.33333333333</v>
      </c>
      <c r="U46" s="34">
        <f t="shared" ref="U46" si="83">F46/3</f>
        <v>15000</v>
      </c>
      <c r="V46" s="35">
        <f t="shared" ref="V46" si="84">G46/3</f>
        <v>113333.33333333333</v>
      </c>
      <c r="W46" s="33">
        <f>E46/3</f>
        <v>128333.33333333333</v>
      </c>
      <c r="X46" s="34">
        <f t="shared" ref="X46" si="85">F46/3</f>
        <v>15000</v>
      </c>
      <c r="Y46" s="35">
        <f t="shared" ref="Y46" si="86">G46/3</f>
        <v>113333.33333333333</v>
      </c>
      <c r="Z46" s="33">
        <f>E46/3</f>
        <v>128333.33333333333</v>
      </c>
      <c r="AA46" s="34">
        <f t="shared" ref="AA46" si="87">F46/3</f>
        <v>15000</v>
      </c>
      <c r="AB46" s="35">
        <f t="shared" ref="AB46" si="88">G46/3</f>
        <v>113333.33333333333</v>
      </c>
      <c r="AC46" s="33">
        <f>T46+W46+Z46</f>
        <v>385000</v>
      </c>
      <c r="AD46" s="34">
        <f t="shared" ref="AD46" si="89">U46+X46+AA46</f>
        <v>45000</v>
      </c>
      <c r="AE46" s="35">
        <f t="shared" ref="AE46" si="90">V46+Y46+AB46</f>
        <v>340000</v>
      </c>
      <c r="AG46" s="39">
        <f>400000/3</f>
        <v>133333.33333333334</v>
      </c>
    </row>
    <row r="47" spans="1:33">
      <c r="A47" s="28" t="s">
        <v>59</v>
      </c>
      <c r="B47" s="27"/>
      <c r="C47" s="29"/>
      <c r="D47" s="30"/>
      <c r="E47" s="83">
        <v>275000</v>
      </c>
      <c r="F47" s="84">
        <v>45000</v>
      </c>
      <c r="G47" s="82">
        <f>E47-F47</f>
        <v>230000</v>
      </c>
      <c r="H47" s="79"/>
      <c r="I47" s="48" t="s">
        <v>33</v>
      </c>
      <c r="J47" s="24">
        <f>G47</f>
        <v>230000</v>
      </c>
      <c r="K47" s="48" t="s">
        <v>31</v>
      </c>
      <c r="L47" s="24">
        <f>J47*0.55</f>
        <v>126500.00000000001</v>
      </c>
      <c r="M47" s="24">
        <f>J47*0.45</f>
        <v>103500</v>
      </c>
      <c r="N47" s="24">
        <f>L47+M47</f>
        <v>230000</v>
      </c>
      <c r="T47" s="33">
        <f>E47/3</f>
        <v>91666.666666666672</v>
      </c>
      <c r="U47" s="34">
        <f t="shared" ref="U47" si="91">F47/3</f>
        <v>15000</v>
      </c>
      <c r="V47" s="35">
        <f t="shared" ref="V47" si="92">G47/3</f>
        <v>76666.666666666672</v>
      </c>
      <c r="W47" s="33">
        <f>E47/3</f>
        <v>91666.666666666672</v>
      </c>
      <c r="X47" s="34">
        <f t="shared" ref="X47" si="93">F47/3</f>
        <v>15000</v>
      </c>
      <c r="Y47" s="35">
        <f t="shared" ref="Y47" si="94">G47/3</f>
        <v>76666.666666666672</v>
      </c>
      <c r="Z47" s="33">
        <f>E47/3</f>
        <v>91666.666666666672</v>
      </c>
      <c r="AA47" s="34">
        <f t="shared" ref="AA47" si="95">F47/3</f>
        <v>15000</v>
      </c>
      <c r="AB47" s="35">
        <f t="shared" ref="AB47" si="96">G47/3</f>
        <v>76666.666666666672</v>
      </c>
      <c r="AC47" s="33">
        <f>T47+W47+Z47</f>
        <v>275000</v>
      </c>
      <c r="AD47" s="34">
        <f t="shared" ref="AD47" si="97">U47+X47+AA47</f>
        <v>45000</v>
      </c>
      <c r="AE47" s="35">
        <f t="shared" ref="AE47" si="98">V47+Y47+AB47</f>
        <v>230000</v>
      </c>
    </row>
    <row r="48" spans="1:33" s="6" customFormat="1">
      <c r="A48" s="17" t="s">
        <v>14</v>
      </c>
      <c r="B48" s="17"/>
      <c r="C48" s="43"/>
      <c r="D48" s="17"/>
      <c r="E48" s="72">
        <f>SUM(E38:E47)</f>
        <v>2675000</v>
      </c>
      <c r="F48" s="73">
        <f>SUM(F30:F47)</f>
        <v>1115000</v>
      </c>
      <c r="G48" s="73">
        <f>SUM(G30:G47)</f>
        <v>1560000</v>
      </c>
      <c r="H48" s="74">
        <f>+G48+F48</f>
        <v>2675000</v>
      </c>
      <c r="J48" s="47">
        <f>SUM(J2:J47)</f>
        <v>1607240</v>
      </c>
      <c r="L48" s="47">
        <f>SUM(L2:L47)</f>
        <v>858000</v>
      </c>
      <c r="M48" s="47">
        <f>SUM(M2:M47)</f>
        <v>749240</v>
      </c>
      <c r="N48" s="24">
        <f>L48+M48</f>
        <v>1607240</v>
      </c>
      <c r="T48" s="44">
        <f t="shared" ref="T48:AE48" si="99">SUM(T38:T47)</f>
        <v>904166.66666666663</v>
      </c>
      <c r="U48" s="45">
        <f t="shared" si="99"/>
        <v>384166.66666666663</v>
      </c>
      <c r="V48" s="45">
        <f t="shared" si="99"/>
        <v>520000</v>
      </c>
      <c r="W48" s="44">
        <f t="shared" si="99"/>
        <v>904166.66666666663</v>
      </c>
      <c r="X48" s="45">
        <f t="shared" si="99"/>
        <v>384166.66666666663</v>
      </c>
      <c r="Y48" s="45">
        <f t="shared" si="99"/>
        <v>520000</v>
      </c>
      <c r="Z48" s="44">
        <f t="shared" si="99"/>
        <v>866667.16666666663</v>
      </c>
      <c r="AA48" s="45">
        <f>SUM(AA38:AA47)-1</f>
        <v>346665.66666666663</v>
      </c>
      <c r="AB48" s="45">
        <f t="shared" si="99"/>
        <v>520000</v>
      </c>
      <c r="AC48" s="44">
        <f t="shared" si="99"/>
        <v>2675000.5</v>
      </c>
      <c r="AD48" s="45">
        <f t="shared" si="99"/>
        <v>1115000</v>
      </c>
      <c r="AE48" s="46">
        <f t="shared" si="99"/>
        <v>1560000</v>
      </c>
    </row>
    <row r="49" spans="1:31">
      <c r="E49" s="75"/>
      <c r="F49" s="69"/>
      <c r="G49" s="69"/>
      <c r="H49" s="69"/>
      <c r="J49" s="24"/>
      <c r="T49" s="33"/>
      <c r="U49" s="34"/>
      <c r="V49" s="35"/>
      <c r="W49" s="33"/>
      <c r="X49" s="34"/>
      <c r="Y49" s="35"/>
      <c r="Z49" s="33"/>
      <c r="AA49" s="34"/>
      <c r="AB49" s="35"/>
      <c r="AC49" s="33"/>
      <c r="AD49" s="34"/>
      <c r="AE49" s="35"/>
    </row>
    <row r="50" spans="1:31" ht="15">
      <c r="A50" s="7" t="s">
        <v>15</v>
      </c>
      <c r="C50" s="2" t="s">
        <v>7</v>
      </c>
      <c r="E50" s="75"/>
      <c r="F50" s="69"/>
      <c r="G50" s="69"/>
      <c r="H50" s="69"/>
      <c r="T50" s="33">
        <f>T43+T44</f>
        <v>363333.33333333331</v>
      </c>
      <c r="U50" s="34"/>
      <c r="V50" s="35"/>
      <c r="W50" s="33"/>
      <c r="X50" s="34"/>
      <c r="Y50" s="35"/>
      <c r="Z50" s="33"/>
      <c r="AA50" s="34"/>
      <c r="AB50" s="35"/>
      <c r="AC50" s="33"/>
      <c r="AD50" s="34"/>
      <c r="AE50" s="35"/>
    </row>
    <row r="51" spans="1:31">
      <c r="A51" s="17"/>
      <c r="B51" s="18"/>
      <c r="C51" s="18"/>
      <c r="D51" s="18"/>
      <c r="E51" s="72">
        <v>0</v>
      </c>
      <c r="F51" s="73">
        <v>0</v>
      </c>
      <c r="G51" s="73">
        <v>0</v>
      </c>
      <c r="H51" s="77">
        <f>+F51+G51</f>
        <v>0</v>
      </c>
      <c r="T51" s="33"/>
      <c r="U51" s="34"/>
      <c r="V51" s="35"/>
      <c r="W51" s="33"/>
      <c r="X51" s="34"/>
      <c r="Y51" s="35"/>
      <c r="Z51" s="33"/>
      <c r="AA51" s="34"/>
      <c r="AB51" s="35"/>
      <c r="AC51" s="33"/>
      <c r="AD51" s="34"/>
      <c r="AE51" s="35"/>
    </row>
    <row r="52" spans="1:31">
      <c r="E52" s="75"/>
      <c r="F52" s="69"/>
      <c r="G52" s="69"/>
      <c r="H52" s="69"/>
      <c r="T52" s="33"/>
      <c r="U52" s="34"/>
      <c r="V52" s="35"/>
      <c r="W52" s="33"/>
      <c r="X52" s="34"/>
      <c r="Y52" s="35"/>
      <c r="Z52" s="33"/>
      <c r="AA52" s="34"/>
      <c r="AB52" s="35"/>
      <c r="AC52" s="33"/>
      <c r="AD52" s="34"/>
      <c r="AE52" s="35"/>
    </row>
    <row r="53" spans="1:31" ht="15">
      <c r="A53" s="7" t="s">
        <v>16</v>
      </c>
      <c r="E53" s="75"/>
      <c r="F53" s="69"/>
      <c r="G53" s="69"/>
      <c r="H53" s="69"/>
      <c r="T53" s="33"/>
      <c r="U53" s="34"/>
      <c r="V53" s="35"/>
      <c r="W53" s="33"/>
      <c r="X53" s="34"/>
      <c r="Y53" s="35"/>
      <c r="Z53" s="33"/>
      <c r="AA53" s="34"/>
      <c r="AB53" s="35"/>
      <c r="AC53" s="33"/>
      <c r="AD53" s="34"/>
      <c r="AE53" s="35"/>
    </row>
    <row r="54" spans="1:31" s="41" customFormat="1" ht="38.25" customHeight="1">
      <c r="A54" s="65" t="s">
        <v>49</v>
      </c>
      <c r="B54" s="65"/>
      <c r="C54" s="65"/>
      <c r="D54" s="65"/>
      <c r="E54" s="75">
        <f>F54+G54</f>
        <v>6090</v>
      </c>
      <c r="F54" s="69">
        <f>(7+(30*2)+20)*10*7</f>
        <v>6090</v>
      </c>
      <c r="G54" s="69">
        <v>0</v>
      </c>
      <c r="H54" s="69"/>
      <c r="T54" s="33">
        <f>E54/3</f>
        <v>2030</v>
      </c>
      <c r="U54" s="34">
        <f t="shared" ref="U54" si="100">F54/3</f>
        <v>2030</v>
      </c>
      <c r="V54" s="35">
        <f t="shared" ref="V54" si="101">G54/3</f>
        <v>0</v>
      </c>
      <c r="W54" s="33">
        <f>E54/3</f>
        <v>2030</v>
      </c>
      <c r="X54" s="34">
        <f t="shared" ref="X54" si="102">F54/3</f>
        <v>2030</v>
      </c>
      <c r="Y54" s="35">
        <f t="shared" ref="Y54" si="103">G54/3</f>
        <v>0</v>
      </c>
      <c r="Z54" s="33">
        <f>E54/3</f>
        <v>2030</v>
      </c>
      <c r="AA54" s="34">
        <f t="shared" ref="AA54" si="104">F54/3</f>
        <v>2030</v>
      </c>
      <c r="AB54" s="35">
        <f t="shared" ref="AB54" si="105">G54/3</f>
        <v>0</v>
      </c>
      <c r="AC54" s="33">
        <f>T54+W54+Z54</f>
        <v>6090</v>
      </c>
      <c r="AD54" s="34">
        <f t="shared" ref="AD54" si="106">U54+X54+AA54</f>
        <v>6090</v>
      </c>
      <c r="AE54" s="35">
        <f t="shared" ref="AE54" si="107">V54+Y54+AB54</f>
        <v>0</v>
      </c>
    </row>
    <row r="55" spans="1:31" ht="12.75" customHeight="1">
      <c r="A55" s="60" t="s">
        <v>67</v>
      </c>
      <c r="B55" s="60"/>
      <c r="C55" s="60"/>
      <c r="D55" s="60"/>
      <c r="E55" s="75">
        <f>E9*0.2</f>
        <v>53989.8</v>
      </c>
      <c r="F55" s="69">
        <f>+E55*1</f>
        <v>53989.8</v>
      </c>
      <c r="G55" s="69">
        <v>0</v>
      </c>
      <c r="H55" s="69"/>
      <c r="T55" s="33">
        <f>E55/3</f>
        <v>17996.600000000002</v>
      </c>
      <c r="U55" s="34">
        <f t="shared" ref="U55" si="108">F55/3</f>
        <v>17996.600000000002</v>
      </c>
      <c r="V55" s="35">
        <f t="shared" ref="V55" si="109">G55/3</f>
        <v>0</v>
      </c>
      <c r="W55" s="33">
        <f>E55/3</f>
        <v>17996.600000000002</v>
      </c>
      <c r="X55" s="34">
        <f t="shared" ref="X55" si="110">F55/3</f>
        <v>17996.600000000002</v>
      </c>
      <c r="Y55" s="35">
        <f t="shared" ref="Y55" si="111">G55/3</f>
        <v>0</v>
      </c>
      <c r="Z55" s="33">
        <f>E55/3</f>
        <v>17996.600000000002</v>
      </c>
      <c r="AA55" s="34">
        <f t="shared" ref="AA55" si="112">F55/3</f>
        <v>17996.600000000002</v>
      </c>
      <c r="AB55" s="35">
        <f t="shared" ref="AB55" si="113">G55/3</f>
        <v>0</v>
      </c>
      <c r="AC55" s="33">
        <f>T55+W55+Z55</f>
        <v>53989.8</v>
      </c>
      <c r="AD55" s="34">
        <f t="shared" ref="AD55" si="114">U55+X55+AA55</f>
        <v>53989.8</v>
      </c>
      <c r="AE55" s="35">
        <f t="shared" ref="AE55" si="115">V55+Y55+AB55</f>
        <v>0</v>
      </c>
    </row>
    <row r="56" spans="1:31" s="6" customFormat="1">
      <c r="A56" s="17" t="s">
        <v>68</v>
      </c>
      <c r="B56" s="17"/>
      <c r="C56" s="17"/>
      <c r="D56" s="17"/>
      <c r="E56" s="72">
        <f>SUM(E54:E55)</f>
        <v>60079.8</v>
      </c>
      <c r="F56" s="73">
        <f>SUM(F54:F55)</f>
        <v>60079.8</v>
      </c>
      <c r="G56" s="73">
        <f>SUM(G55:G55)</f>
        <v>0</v>
      </c>
      <c r="H56" s="74">
        <f>+G56+F56</f>
        <v>60079.8</v>
      </c>
      <c r="I56" s="6" t="s">
        <v>36</v>
      </c>
      <c r="T56" s="44">
        <f>E56/3</f>
        <v>20026.600000000002</v>
      </c>
      <c r="U56" s="45">
        <f t="shared" ref="U56" si="116">F56/3</f>
        <v>20026.600000000002</v>
      </c>
      <c r="V56" s="46">
        <f t="shared" ref="V56" si="117">G56/3</f>
        <v>0</v>
      </c>
      <c r="W56" s="44">
        <f>E56/3</f>
        <v>20026.600000000002</v>
      </c>
      <c r="X56" s="45">
        <f t="shared" ref="X56" si="118">F56/3</f>
        <v>20026.600000000002</v>
      </c>
      <c r="Y56" s="46">
        <f t="shared" ref="Y56" si="119">G56/3</f>
        <v>0</v>
      </c>
      <c r="Z56" s="44">
        <f>E56/3</f>
        <v>20026.600000000002</v>
      </c>
      <c r="AA56" s="45">
        <f t="shared" ref="AA56" si="120">F56/3</f>
        <v>20026.600000000002</v>
      </c>
      <c r="AB56" s="46">
        <f t="shared" ref="AB56" si="121">G56/3</f>
        <v>0</v>
      </c>
      <c r="AC56" s="44">
        <f>T56+W56+Z56</f>
        <v>60079.8</v>
      </c>
      <c r="AD56" s="45">
        <f t="shared" ref="AD56" si="122">U56+X56+AA56</f>
        <v>60079.8</v>
      </c>
      <c r="AE56" s="46">
        <f t="shared" ref="AE56" si="123">V56+Y56+AB56</f>
        <v>0</v>
      </c>
    </row>
    <row r="57" spans="1:31">
      <c r="A57" s="20"/>
      <c r="B57" s="16"/>
      <c r="C57" s="16"/>
      <c r="D57" s="16"/>
      <c r="E57" s="85"/>
      <c r="F57" s="86"/>
      <c r="G57" s="86"/>
      <c r="H57" s="87"/>
      <c r="T57" s="33"/>
      <c r="U57" s="34"/>
      <c r="V57" s="35"/>
      <c r="W57" s="33"/>
      <c r="X57" s="34"/>
      <c r="Y57" s="35"/>
      <c r="Z57" s="33"/>
      <c r="AA57" s="34"/>
      <c r="AB57" s="35"/>
      <c r="AC57" s="33"/>
      <c r="AD57" s="34"/>
      <c r="AE57" s="35"/>
    </row>
    <row r="58" spans="1:31" ht="15">
      <c r="A58" s="7" t="s">
        <v>17</v>
      </c>
      <c r="E58" s="88"/>
      <c r="F58" s="69"/>
      <c r="G58" s="69"/>
      <c r="H58" s="69"/>
      <c r="T58" s="33"/>
      <c r="U58" s="34"/>
      <c r="V58" s="35"/>
      <c r="W58" s="33"/>
      <c r="X58" s="34"/>
      <c r="Y58" s="35"/>
      <c r="Z58" s="33"/>
      <c r="AA58" s="34"/>
      <c r="AB58" s="35"/>
      <c r="AC58" s="33"/>
      <c r="AD58" s="34"/>
      <c r="AE58" s="35"/>
    </row>
    <row r="59" spans="1:31" s="6" customFormat="1">
      <c r="A59" s="17" t="s">
        <v>17</v>
      </c>
      <c r="B59" s="17"/>
      <c r="C59" s="17"/>
      <c r="D59" s="17"/>
      <c r="E59" s="72">
        <f>+E56+E52+E48+E26+E23+E19+E12+E9</f>
        <v>3196990.95</v>
      </c>
      <c r="F59" s="73">
        <f>+F56+F51+F48+F26+F22+F19+F12+F9</f>
        <v>1589750.95</v>
      </c>
      <c r="G59" s="73">
        <f>+G56+G51+G48+G26+G22+G19+G12+G9</f>
        <v>1607240</v>
      </c>
      <c r="H59" s="73">
        <f>+F59+G59</f>
        <v>3196990.95</v>
      </c>
      <c r="J59" s="6">
        <f>SUM(J1:J58)</f>
        <v>3214480</v>
      </c>
      <c r="L59" s="6">
        <f>SUM(L1:L58)</f>
        <v>1716000</v>
      </c>
      <c r="N59" s="6">
        <f>J59+L59</f>
        <v>4930480</v>
      </c>
      <c r="T59" s="44">
        <f t="shared" ref="T59:AE59" si="124">+T56+T52+T48+T26+T23+T19+T12+T9</f>
        <v>1078163.6499999999</v>
      </c>
      <c r="U59" s="45">
        <f t="shared" si="124"/>
        <v>542416.9833333334</v>
      </c>
      <c r="V59" s="46">
        <f t="shared" si="124"/>
        <v>535746.66666666663</v>
      </c>
      <c r="W59" s="44">
        <f t="shared" si="124"/>
        <v>1078163.6499999999</v>
      </c>
      <c r="X59" s="45">
        <f t="shared" si="124"/>
        <v>542416.9833333334</v>
      </c>
      <c r="Y59" s="46">
        <f t="shared" si="124"/>
        <v>535746.66666666663</v>
      </c>
      <c r="Z59" s="44">
        <f t="shared" si="124"/>
        <v>1040664.15</v>
      </c>
      <c r="AA59" s="45">
        <f t="shared" si="124"/>
        <v>504915.98333333334</v>
      </c>
      <c r="AB59" s="46">
        <f t="shared" si="124"/>
        <v>535746.66666666663</v>
      </c>
      <c r="AC59" s="44">
        <f t="shared" si="124"/>
        <v>3196991.45</v>
      </c>
      <c r="AD59" s="45">
        <f t="shared" si="124"/>
        <v>1589750.95</v>
      </c>
      <c r="AE59" s="46">
        <f t="shared" si="124"/>
        <v>1607240</v>
      </c>
    </row>
    <row r="60" spans="1:31">
      <c r="A60" s="6"/>
      <c r="E60" s="88"/>
      <c r="F60" s="69"/>
      <c r="G60" s="69"/>
      <c r="H60" s="69"/>
      <c r="T60" s="33"/>
      <c r="U60" s="34"/>
      <c r="V60" s="35"/>
      <c r="W60" s="33"/>
      <c r="X60" s="34"/>
      <c r="Y60" s="35"/>
      <c r="Z60" s="33"/>
      <c r="AA60" s="34"/>
      <c r="AB60" s="35"/>
      <c r="AC60" s="33"/>
      <c r="AD60" s="34"/>
      <c r="AE60" s="35"/>
    </row>
    <row r="61" spans="1:31" ht="15">
      <c r="A61" s="7" t="s">
        <v>18</v>
      </c>
      <c r="B61" s="7"/>
      <c r="C61" s="2" t="s">
        <v>24</v>
      </c>
      <c r="E61" s="75">
        <v>0</v>
      </c>
      <c r="F61" s="69">
        <v>0</v>
      </c>
      <c r="G61" s="69">
        <v>0</v>
      </c>
      <c r="H61" s="69"/>
      <c r="T61" s="33"/>
      <c r="U61" s="34"/>
      <c r="V61" s="35"/>
      <c r="W61" s="33"/>
      <c r="X61" s="34"/>
      <c r="Y61" s="35"/>
      <c r="Z61" s="33"/>
      <c r="AA61" s="34"/>
      <c r="AB61" s="35"/>
      <c r="AC61" s="33"/>
      <c r="AD61" s="34"/>
      <c r="AE61" s="35"/>
    </row>
    <row r="62" spans="1:31">
      <c r="A62" s="6"/>
      <c r="E62" s="75"/>
      <c r="F62" s="69"/>
      <c r="G62" s="69"/>
      <c r="H62" s="69"/>
      <c r="T62" s="33"/>
      <c r="U62" s="34"/>
      <c r="V62" s="35"/>
      <c r="W62" s="33"/>
      <c r="X62" s="34"/>
      <c r="Y62" s="35"/>
      <c r="Z62" s="33"/>
      <c r="AA62" s="34"/>
      <c r="AB62" s="35"/>
      <c r="AC62" s="33"/>
      <c r="AD62" s="34"/>
      <c r="AE62" s="35"/>
    </row>
    <row r="63" spans="1:31" ht="15">
      <c r="A63" s="7" t="s">
        <v>19</v>
      </c>
      <c r="B63" s="7"/>
      <c r="E63" s="75"/>
      <c r="F63" s="69"/>
      <c r="G63" s="69"/>
      <c r="H63" s="69"/>
      <c r="T63" s="33"/>
      <c r="U63" s="34"/>
      <c r="V63" s="35"/>
      <c r="W63" s="33"/>
      <c r="X63" s="34"/>
      <c r="Y63" s="35"/>
      <c r="Z63" s="33"/>
      <c r="AA63" s="34"/>
      <c r="AB63" s="35"/>
      <c r="AC63" s="33"/>
      <c r="AD63" s="34"/>
      <c r="AE63" s="35"/>
    </row>
    <row r="64" spans="1:31" ht="12.75" thickBot="1">
      <c r="A64" s="22" t="s">
        <v>19</v>
      </c>
      <c r="B64" s="19"/>
      <c r="C64" s="19"/>
      <c r="D64" s="19"/>
      <c r="E64" s="89">
        <f>+E59</f>
        <v>3196990.95</v>
      </c>
      <c r="F64" s="90">
        <f>+F59</f>
        <v>1589750.95</v>
      </c>
      <c r="G64" s="90">
        <f>+G59</f>
        <v>1607240</v>
      </c>
      <c r="H64" s="91"/>
      <c r="I64" s="24"/>
      <c r="T64" s="36"/>
      <c r="U64" s="37"/>
      <c r="V64" s="38"/>
      <c r="W64" s="36"/>
      <c r="X64" s="37"/>
      <c r="Y64" s="38"/>
      <c r="Z64" s="36"/>
      <c r="AA64" s="37"/>
      <c r="AB64" s="38"/>
      <c r="AC64" s="36"/>
      <c r="AD64" s="37"/>
      <c r="AE64" s="38"/>
    </row>
    <row r="65" spans="5:5" ht="12.75" thickTop="1"/>
    <row r="73" spans="5:5">
      <c r="E73" s="57">
        <v>2805000</v>
      </c>
    </row>
  </sheetData>
  <mergeCells count="12">
    <mergeCell ref="A55:D55"/>
    <mergeCell ref="Z1:AB1"/>
    <mergeCell ref="AC1:AE1"/>
    <mergeCell ref="C35:D35"/>
    <mergeCell ref="T1:V1"/>
    <mergeCell ref="W1:Y1"/>
    <mergeCell ref="A25:D25"/>
    <mergeCell ref="A15:D15"/>
    <mergeCell ref="A16:D16"/>
    <mergeCell ref="A17:D17"/>
    <mergeCell ref="A18:D18"/>
    <mergeCell ref="A54:D54"/>
  </mergeCells>
  <printOptions horizontalCentered="1"/>
  <pageMargins left="0.5" right="0.5" top="1" bottom="0.75" header="0.5" footer="0.5"/>
  <pageSetup scale="85" orientation="portrait" r:id="rId1"/>
  <headerFooter alignWithMargins="0">
    <oddHeader xml:space="preserve">&amp;C&amp;"Arial,Bold"&amp;12Multi-State Agency Guidance for Water Quality Trading&amp;"Arial,Regular"&amp;10
NRCS - Conservation Innovation Grant Budget 2012-2015
</oddHeader>
    <oddFooter>&amp;LAPPLICANT: Willamette Partnership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M74"/>
  <sheetViews>
    <sheetView topLeftCell="A30" workbookViewId="0">
      <selection activeCell="J45" sqref="J45:L52"/>
    </sheetView>
  </sheetViews>
  <sheetFormatPr defaultRowHeight="12.75"/>
  <cols>
    <col min="3" max="3" width="12.28515625" bestFit="1" customWidth="1"/>
    <col min="10" max="10" width="10.140625" bestFit="1" customWidth="1"/>
    <col min="11" max="11" width="10.85546875" customWidth="1"/>
    <col min="12" max="12" width="11" customWidth="1"/>
    <col min="13" max="13" width="10.7109375" bestFit="1" customWidth="1"/>
  </cols>
  <sheetData>
    <row r="2" spans="3:3">
      <c r="C2" s="49"/>
    </row>
    <row r="3" spans="3:3">
      <c r="C3" s="49"/>
    </row>
    <row r="4" spans="3:3">
      <c r="C4" s="49"/>
    </row>
    <row r="5" spans="3:3">
      <c r="C5" s="49"/>
    </row>
    <row r="6" spans="3:3">
      <c r="C6" s="49"/>
    </row>
    <row r="7" spans="3:3">
      <c r="C7" s="49"/>
    </row>
    <row r="8" spans="3:3">
      <c r="C8" s="49"/>
    </row>
    <row r="9" spans="3:3">
      <c r="C9" s="49">
        <v>70928</v>
      </c>
    </row>
    <row r="10" spans="3:3">
      <c r="C10" s="49"/>
    </row>
    <row r="11" spans="3:3">
      <c r="C11" s="49"/>
    </row>
    <row r="12" spans="3:3">
      <c r="C12" s="49">
        <v>21278</v>
      </c>
    </row>
    <row r="13" spans="3:3">
      <c r="C13" s="49"/>
    </row>
    <row r="14" spans="3:3">
      <c r="C14" s="49"/>
    </row>
    <row r="15" spans="3:3">
      <c r="C15" s="49"/>
    </row>
    <row r="16" spans="3:3">
      <c r="C16" s="49">
        <v>1703</v>
      </c>
    </row>
    <row r="17" spans="3:3">
      <c r="C17" s="49">
        <v>10400</v>
      </c>
    </row>
    <row r="18" spans="3:3">
      <c r="C18" s="49">
        <v>2500</v>
      </c>
    </row>
    <row r="19" spans="3:3">
      <c r="C19" s="49"/>
    </row>
    <row r="20" spans="3:3">
      <c r="C20" s="49">
        <v>15603</v>
      </c>
    </row>
    <row r="21" spans="3:3">
      <c r="C21" s="49"/>
    </row>
    <row r="22" spans="3:3">
      <c r="C22" s="49"/>
    </row>
    <row r="23" spans="3:3">
      <c r="C23" s="49"/>
    </row>
    <row r="24" spans="3:3">
      <c r="C24" s="49"/>
    </row>
    <row r="25" spans="3:3">
      <c r="C25" s="49"/>
    </row>
    <row r="26" spans="3:3">
      <c r="C26" s="49"/>
    </row>
    <row r="27" spans="3:3">
      <c r="C27" s="49">
        <v>3610</v>
      </c>
    </row>
    <row r="28" spans="3:3">
      <c r="C28" s="49"/>
    </row>
    <row r="29" spans="3:3">
      <c r="C29" s="49"/>
    </row>
    <row r="30" spans="3:3">
      <c r="C30" s="49"/>
    </row>
    <row r="31" spans="3:3">
      <c r="C31" s="49"/>
    </row>
    <row r="32" spans="3:3">
      <c r="C32" s="49"/>
    </row>
    <row r="33" spans="3:13">
      <c r="C33" s="49"/>
    </row>
    <row r="34" spans="3:13">
      <c r="C34" s="49"/>
    </row>
    <row r="35" spans="3:13">
      <c r="C35" s="49"/>
    </row>
    <row r="36" spans="3:13">
      <c r="C36" s="49"/>
    </row>
    <row r="37" spans="3:13">
      <c r="C37" s="49"/>
    </row>
    <row r="38" spans="3:13">
      <c r="C38" s="49"/>
    </row>
    <row r="39" spans="3:13">
      <c r="C39" s="49"/>
    </row>
    <row r="40" spans="3:13">
      <c r="C40" s="49"/>
    </row>
    <row r="41" spans="3:13">
      <c r="C41" s="49">
        <v>83334</v>
      </c>
    </row>
    <row r="42" spans="3:13">
      <c r="C42" s="49">
        <v>83334</v>
      </c>
    </row>
    <row r="43" spans="3:13">
      <c r="C43" s="49">
        <v>83334</v>
      </c>
    </row>
    <row r="44" spans="3:13" ht="13.5" thickBot="1">
      <c r="C44" s="49">
        <v>33334</v>
      </c>
    </row>
    <row r="45" spans="3:13" ht="16.5" thickBot="1">
      <c r="C45" s="49"/>
      <c r="J45" s="52">
        <v>414166</v>
      </c>
      <c r="K45" s="51">
        <v>414167</v>
      </c>
      <c r="L45" s="51">
        <v>414167</v>
      </c>
      <c r="M45" s="50">
        <f>SUM(J45:L45)</f>
        <v>1242500</v>
      </c>
    </row>
    <row r="46" spans="3:13" ht="16.5" thickBot="1">
      <c r="C46" s="49"/>
      <c r="J46" s="53">
        <v>83333</v>
      </c>
      <c r="K46" s="54">
        <v>83333</v>
      </c>
      <c r="L46" s="54">
        <v>83334</v>
      </c>
    </row>
    <row r="47" spans="3:13" ht="16.5" thickBot="1">
      <c r="C47" s="49"/>
      <c r="J47" s="53">
        <v>83333</v>
      </c>
      <c r="K47" s="54">
        <v>83333</v>
      </c>
      <c r="L47" s="54">
        <v>83334</v>
      </c>
    </row>
    <row r="48" spans="3:13" ht="16.5" thickBot="1">
      <c r="C48" s="49"/>
      <c r="J48" s="53">
        <v>83334</v>
      </c>
      <c r="K48" s="54">
        <v>83333</v>
      </c>
      <c r="L48" s="54">
        <v>83333</v>
      </c>
    </row>
    <row r="49" spans="3:13" ht="16.5" thickBot="1">
      <c r="C49" s="49">
        <v>37500</v>
      </c>
      <c r="J49" s="53">
        <v>33333</v>
      </c>
      <c r="K49" s="54">
        <v>33334</v>
      </c>
      <c r="L49" s="54">
        <v>33333</v>
      </c>
    </row>
    <row r="50" spans="3:13" ht="16.5" thickBot="1">
      <c r="C50" s="49"/>
      <c r="J50" s="53">
        <v>37500</v>
      </c>
      <c r="K50" s="54">
        <v>37500</v>
      </c>
      <c r="L50" s="54">
        <v>37500</v>
      </c>
    </row>
    <row r="51" spans="3:13" ht="16.5" thickBot="1">
      <c r="C51" s="49"/>
      <c r="J51" s="53">
        <v>33333</v>
      </c>
      <c r="K51" s="54">
        <v>33334</v>
      </c>
      <c r="L51" s="54">
        <v>33333</v>
      </c>
    </row>
    <row r="52" spans="3:13" ht="16.5" thickBot="1">
      <c r="C52" s="49"/>
      <c r="J52" s="53">
        <v>60000</v>
      </c>
      <c r="K52" s="54">
        <v>60000</v>
      </c>
      <c r="L52" s="54">
        <v>60000</v>
      </c>
    </row>
    <row r="53" spans="3:13">
      <c r="C53" s="49"/>
      <c r="J53" s="50">
        <f>SUM(J46:J52)</f>
        <v>414166</v>
      </c>
      <c r="K53" s="50">
        <f t="shared" ref="K53:L53" si="0">SUM(K46:K52)</f>
        <v>414167</v>
      </c>
      <c r="L53" s="50">
        <f t="shared" si="0"/>
        <v>414167</v>
      </c>
      <c r="M53" s="50">
        <f>SUM(J53:L53)</f>
        <v>1242500</v>
      </c>
    </row>
    <row r="54" spans="3:13">
      <c r="C54" s="49">
        <v>33334</v>
      </c>
    </row>
    <row r="55" spans="3:13">
      <c r="C55" s="49"/>
    </row>
    <row r="56" spans="3:13">
      <c r="C56" s="49"/>
    </row>
    <row r="57" spans="3:13">
      <c r="C57" s="49"/>
    </row>
    <row r="58" spans="3:13">
      <c r="C58" s="49"/>
    </row>
    <row r="59" spans="3:13">
      <c r="C59" s="49">
        <v>60000</v>
      </c>
    </row>
    <row r="60" spans="3:13">
      <c r="C60" s="49"/>
    </row>
    <row r="61" spans="3:13">
      <c r="C61" s="49"/>
    </row>
    <row r="62" spans="3:13">
      <c r="C62" s="49">
        <v>414167</v>
      </c>
    </row>
    <row r="63" spans="3:13">
      <c r="C63" s="49"/>
    </row>
    <row r="64" spans="3:13">
      <c r="C64" s="49"/>
    </row>
    <row r="65" spans="3:3">
      <c r="C65" s="49"/>
    </row>
    <row r="66" spans="3:3">
      <c r="C66" s="49"/>
    </row>
    <row r="67" spans="3:3">
      <c r="C67" s="49"/>
    </row>
    <row r="68" spans="3:3">
      <c r="C68" s="49"/>
    </row>
    <row r="69" spans="3:3">
      <c r="C69" s="49">
        <v>1330</v>
      </c>
    </row>
    <row r="70" spans="3:3">
      <c r="C70" s="49">
        <v>14186</v>
      </c>
    </row>
    <row r="71" spans="3:3">
      <c r="C71" s="49">
        <v>15516</v>
      </c>
    </row>
    <row r="72" spans="3:3">
      <c r="C72" s="49">
        <f>SUM(C9:C71)</f>
        <v>985391</v>
      </c>
    </row>
    <row r="73" spans="3:3">
      <c r="C73" s="49"/>
    </row>
    <row r="74" spans="3:3">
      <c r="C74" s="49">
        <v>541101.56853333325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Master </vt:lpstr>
      <vt:lpstr>Sheet1</vt:lpstr>
      <vt:lpstr>'Budget Master '!Print_Area</vt:lpstr>
    </vt:vector>
  </TitlesOfParts>
  <Company>CH2M HILL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Primozich</dc:creator>
  <dc:description>CIG Worksheet</dc:description>
  <cp:lastModifiedBy>alan</cp:lastModifiedBy>
  <cp:lastPrinted>2012-02-29T21:20:58Z</cp:lastPrinted>
  <dcterms:created xsi:type="dcterms:W3CDTF">2005-03-26T18:04:13Z</dcterms:created>
  <dcterms:modified xsi:type="dcterms:W3CDTF">2012-02-29T21:21:02Z</dcterms:modified>
</cp:coreProperties>
</file>